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sergejbondarev/projects/transflot/static/"/>
    </mc:Choice>
  </mc:AlternateContent>
  <xr:revisionPtr revIDLastSave="0" documentId="13_ncr:1_{EF5EB669-6960-9543-84AC-BFE6F5CC49C9}" xr6:coauthVersionLast="47" xr6:coauthVersionMax="47" xr10:uidLastSave="{00000000-0000-0000-0000-000000000000}"/>
  <bookViews>
    <workbookView showSheetTabs="0" xWindow="0" yWindow="460" windowWidth="25600" windowHeight="14180" xr2:uid="{00000000-000D-0000-FFFF-FFFF00000000}"/>
  </bookViews>
  <sheets>
    <sheet name="Reg Form" sheetId="1" r:id="rId1"/>
  </sheets>
  <definedNames>
    <definedName name="_xlnm.Print_Area" localSheetId="0">'Reg Form'!$A$4:$X$192</definedName>
    <definedName name="ForExport">'Reg Form'!$B$1:$IV$2</definedName>
    <definedName name="Pl3MV">'Reg Form'!$D$178</definedName>
    <definedName name="PladdressRegion">'Reg Form'!$E$15</definedName>
    <definedName name="PladdressStret">'Reg Form'!$E$17</definedName>
    <definedName name="PladdressTown">'Reg Form'!$E$16</definedName>
    <definedName name="PlCertOfCompAt">'Reg Form'!$O$101</definedName>
    <definedName name="PlCertOfCompIsuedDate">'Reg Form'!$L$101</definedName>
    <definedName name="PlCertOfCompNum">'Reg Form'!$K$101</definedName>
    <definedName name="PlChemTankAdvancedAt">'Reg Form'!$O$132</definedName>
    <definedName name="PlChemTankAdvancedDateIssued">'Reg Form'!$L$132</definedName>
    <definedName name="PlChemTankAdvancedNum">'Reg Form'!$K$132</definedName>
    <definedName name="PlCholeraAt">'Reg Form'!$O$152</definedName>
    <definedName name="PlCholeraNum">'Reg Form'!$K$152</definedName>
    <definedName name="PlCholeraVaccinationDateIssued">'Reg Form'!$L$152</definedName>
    <definedName name="PlCitizenship">'Reg Form'!$I$22</definedName>
    <definedName name="PlCitizenship_2">'Reg Form'!$I$23</definedName>
    <definedName name="PlClothes_Size">'Reg Form'!$E$31</definedName>
    <definedName name="PlContries">'Reg Form'!$AM$7:$AM$237</definedName>
    <definedName name="PlContriesID">'Reg Form'!$AN$7:$AN$237</definedName>
    <definedName name="PlCOWInertGasAt">'Reg Form'!$O$131</definedName>
    <definedName name="PlCOWInertGasDateIssued">'Reg Form'!$L$131</definedName>
    <definedName name="PlCOWInertGasNum">'Reg Form'!$K$131</definedName>
    <definedName name="PlCrisisMngmntAt">'Reg Form'!$O$144</definedName>
    <definedName name="PlCrisisMngmntDateIssued">'Reg Form'!$L$144</definedName>
    <definedName name="PlCrisisMngmntNum">'Reg Form'!$K$144</definedName>
    <definedName name="PlCrowdMangmntAt">'Reg Form'!$O$143</definedName>
    <definedName name="PlCrowdMangmntDateIssued">'Reg Form'!$L$143</definedName>
    <definedName name="PlCrowdMangmntNum">'Reg Form'!$K$143</definedName>
    <definedName name="PlDesaredWages">'Reg Form'!$L$16</definedName>
    <definedName name="PlDifhteriaVaccinationDateIssued">'Reg Form'!$L$151</definedName>
    <definedName name="PlDiplom2At">'Reg Form'!$O$103</definedName>
    <definedName name="PlDiplom2Num">'Reg Form'!$K$103</definedName>
    <definedName name="PlDiplom2Type">'Reg Form'!$F$103</definedName>
    <definedName name="PlDiplomEcvivalent">'Reg Form'!$AO$7:$AO$60</definedName>
    <definedName name="PlDiplomIssuedBy">'Reg Form'!$M$101</definedName>
    <definedName name="PlDiplomRus">'Reg Form'!$G$47</definedName>
    <definedName name="PlDiplomType">'Reg Form'!$F$101</definedName>
    <definedName name="Pldob">'Reg Form'!$E$12</definedName>
    <definedName name="PlDrugAlcoholTestAt">'Reg Form'!$O$153</definedName>
    <definedName name="PlDrugAlcoholTestDateIssued">'Reg Form'!$L$153</definedName>
    <definedName name="PlDrugAlcoholTestNum">'Reg Form'!$K$153</definedName>
    <definedName name="PlEducation">'Reg Form'!$E$25</definedName>
    <definedName name="PlEducation_2">'Reg Form'!$E$26</definedName>
    <definedName name="PlEducRus">'Reg Form'!$G$51</definedName>
    <definedName name="PlEmail">'Reg Form'!$M$19</definedName>
    <definedName name="PlEndCyprusDateIssued">'Reg Form'!$L$114</definedName>
    <definedName name="PlEndCyprusNumber">'Reg Form'!$K$114</definedName>
    <definedName name="PlEndLiberiaDateIssued">'Reg Form'!$L$116</definedName>
    <definedName name="PlEndLiberiaNumber">'Reg Form'!$K$116</definedName>
    <definedName name="PlEndorsmentAt">'Reg Form'!$O$102</definedName>
    <definedName name="PlEndorsmentNum">'Reg Form'!$K$102</definedName>
    <definedName name="PlEndStVinsentDateIssued">'Reg Form'!$L$115</definedName>
    <definedName name="PlEndStVinsentNumber">'Reg Form'!$K$115</definedName>
    <definedName name="PlEnglTestPst">'Reg Form'!$E$35</definedName>
    <definedName name="PlEyes_color">'Reg Form'!$I$30</definedName>
    <definedName name="PlFamelEngl">'Reg Form'!$E$9</definedName>
    <definedName name="PlFastRBoatsData">'Reg Form'!$O$137</definedName>
    <definedName name="PlFastRBoatsDateIssued">'Reg Form'!$L$137</definedName>
    <definedName name="PlFastRBoatsNum">'Reg Form'!$K$137</definedName>
    <definedName name="PlFatherFirstName">'Reg Form'!$E$69:$F$69</definedName>
    <definedName name="PlFatherSurname">'Reg Form'!$C$69:$D$69</definedName>
    <definedName name="PlFemelRus">'Reg Form'!$E$39</definedName>
    <definedName name="PlFireFightLifesaivRescueAt">'Reg Form'!$O$124</definedName>
    <definedName name="PlFireFightLifesaivRescueDateIssued">'Reg Form'!$L$124</definedName>
    <definedName name="PlFireFightLifesaivRescueNum">'Reg Form'!$K$124</definedName>
    <definedName name="PlFlagRegistrSeamBook">'Reg Form'!$K$94</definedName>
    <definedName name="PlFoto">'Reg Form'!$N$27:$O$36</definedName>
    <definedName name="PlGasTankAdvancedAt">'Reg Form'!$O$133</definedName>
    <definedName name="PlGasTankAdvancedDateIssued">'Reg Form'!$L$133</definedName>
    <definedName name="PlGasTankAdvancedNum">'Reg Form'!$K$133</definedName>
    <definedName name="PlGenTank101DateIssued">'Reg Form'!$L$129</definedName>
    <definedName name="PlGenTankSafetAt101">'Reg Form'!$O$129</definedName>
    <definedName name="PlGenTankSafetNum101">'Reg Form'!$K$129</definedName>
    <definedName name="PlGrPasDate">'Reg Form'!$G$95</definedName>
    <definedName name="PlGrPasExpiryDate">'Reg Form'!$J$95</definedName>
    <definedName name="PlGrPasNum">'Reg Form'!$F$95</definedName>
    <definedName name="PlGrPasPlaceIisue">'Reg Form'!$H$95</definedName>
    <definedName name="PlGrPasSeria">'Reg Form'!$E$95</definedName>
    <definedName name="PlHairs_color">'Reg Form'!$I$29</definedName>
    <definedName name="PlHalthCertIsuedAt">'Reg Form'!$O$155</definedName>
    <definedName name="PlHalthCertIsuedNum">'Reg Form'!$K$155</definedName>
    <definedName name="PlHAZMATData">'Reg Form'!$O$134</definedName>
    <definedName name="PlHAZMATDataIssued">'Reg Form'!$L$134</definedName>
    <definedName name="PlHAZMATNumber">'Reg Form'!$K$134</definedName>
    <definedName name="PlHazmatUSA1DateIssued">'Reg Form'!$L$135</definedName>
    <definedName name="PlHazmatUSA1Number">'Reg Form'!$K$135</definedName>
    <definedName name="PlHazmatUSA2DateIssued">'Reg Form'!$L$136</definedName>
    <definedName name="PlHazmatUSA2Number">'Reg Form'!$K$136</definedName>
    <definedName name="PlHead_Size">'Reg Form'!$E$33</definedName>
    <definedName name="PlHeight">'Reg Form'!$E$30</definedName>
    <definedName name="PlIntPasDate">'Reg Form'!$G$96</definedName>
    <definedName name="PlIntPasExpiryDate">'Reg Form'!$J$96</definedName>
    <definedName name="PlIntPasNum">'Reg Form'!$F$96</definedName>
    <definedName name="PlIntPasPlaceIisue">'Reg Form'!$H$96</definedName>
    <definedName name="PlIntPasSeria">'Reg Form'!$E$96</definedName>
    <definedName name="PlLang2">'Reg Form'!$K$149</definedName>
    <definedName name="PlLang22">'Reg Form'!$K$149</definedName>
    <definedName name="PlLang2DateIssued">'Reg Form'!$L$149</definedName>
    <definedName name="PlLicCodes">'Reg Form'!$AQ$7:$AQ$60</definedName>
    <definedName name="PLLicences">'Reg Form'!$AP$7:$AP$60</definedName>
    <definedName name="PlMaritalStat">'Reg Form'!$E$23</definedName>
    <definedName name="PlMedSertDateIssued">'Reg Form'!$L$155</definedName>
    <definedName name="PlMinWages">'Reg Form'!$L$15</definedName>
    <definedName name="PlMobil_Tlf">'Reg Form'!$I$19</definedName>
    <definedName name="PlMotherFirstName">'Reg Form'!$E$67:$F$67</definedName>
    <definedName name="PlMotherMaidenName">'Reg Form'!$E$88</definedName>
    <definedName name="PlMotherSurname">'Reg Form'!$C$67</definedName>
    <definedName name="PlNameEngl">'Reg Form'!$E$10</definedName>
    <definedName name="PlNameRus">'Reg Form'!$E$40</definedName>
    <definedName name="PlNationality">'Reg Form'!$E$22</definedName>
    <definedName name="PlNotes1">'Reg Form'!$L$183</definedName>
    <definedName name="PlNotes2">'Reg Form'!$B$183</definedName>
    <definedName name="PlOtchestvoEngl">'Reg Form'!$E$11</definedName>
    <definedName name="PlOtchestvoRus">'Reg Form'!$E$41</definedName>
    <definedName name="PlPasCargoHulDateIssued">'Reg Form'!#REF!</definedName>
    <definedName name="PlPasCargoHullAt">'Reg Form'!#REF!</definedName>
    <definedName name="PlPasCargoHullNum">'Reg Form'!#REF!</definedName>
    <definedName name="PlPaspNum">'Reg Form'!$F$93</definedName>
    <definedName name="PlPaspSeria">'Reg Form'!$E$93</definedName>
    <definedName name="PlPassengerSafetyAt">'Reg Form'!#REF!</definedName>
    <definedName name="PlPassengerSafetyDateIssued">'Reg Form'!#REF!</definedName>
    <definedName name="PlPassengerSafetyNum">'Reg Form'!#REF!</definedName>
    <definedName name="PlpobEngl">'Reg Form'!$E$13</definedName>
    <definedName name="PlpobRus">'Reg Form'!$E$42</definedName>
    <definedName name="PlPostal_Code">'Reg Form'!$E$18</definedName>
    <definedName name="PlPresentJobCoAndRankRus">'Reg Form'!$G$49</definedName>
    <definedName name="PlPropiskaSity">'Reg Form'!$E$44</definedName>
    <definedName name="PlPropiskaSteet">'Reg Form'!$E$45</definedName>
    <definedName name="PlRadarAt">'Reg Form'!$O$110</definedName>
    <definedName name="PlRadarDateIssued">'Reg Form'!$L$110</definedName>
    <definedName name="PlRadarNum">'Reg Form'!$K$110</definedName>
    <definedName name="PlRank1">'Reg Form'!$E$8</definedName>
    <definedName name="PlRecomendCoAndAddrRus">'Reg Form'!$G$56</definedName>
    <definedName name="PlRecomendCoEMaile">'Reg Form'!$G$58</definedName>
    <definedName name="PlRecomendCoTelFax">'Reg Form'!$G$57</definedName>
    <definedName name="PlRecomendCoTelMobil">'Reg Form'!$K$57</definedName>
    <definedName name="PlRecomendPersonNameRus">'Reg Form'!$G$55</definedName>
    <definedName name="PlRecomendPersonRankRus">'Reg Form'!$G$54</definedName>
    <definedName name="PlReligion">'Reg Form'!$E$24</definedName>
    <definedName name="PlSarpAt">'Reg Form'!$O$111</definedName>
    <definedName name="PlSarpDateIssued">'Reg Form'!$L$111</definedName>
    <definedName name="PlSarpNum">'Reg Form'!$K$111</definedName>
    <definedName name="PlSchengenVisaDateValid">'Reg Form'!$O$148</definedName>
    <definedName name="PlSchengenVisaNumber">'Reg Form'!$K$148</definedName>
    <definedName name="PlSeamansBookNumber">'Reg Form'!$F$94</definedName>
    <definedName name="PlSeamansBookSeria">'Reg Form'!$E$94</definedName>
    <definedName name="PlSeamBookDate">'Reg Form'!$G$94</definedName>
    <definedName name="PlSeamBookDateEXPARY">'Reg Form'!$J$94</definedName>
    <definedName name="PlSeamPaspDate">'Reg Form'!$G$93</definedName>
    <definedName name="PlSeamPaspExparyDate">'Reg Form'!$J$93</definedName>
    <definedName name="PlSert114DateIssued">'Reg Form'!$L$127</definedName>
    <definedName name="PlSert114Number">'Reg Form'!$K$127</definedName>
    <definedName name="PlSert115Data">'Reg Form'!$O$128</definedName>
    <definedName name="PlSert115DateIssued">'Reg Form'!$L$128</definedName>
    <definedName name="PlSert115Number">'Reg Form'!$K$128</definedName>
    <definedName name="PlSert123Data">'Reg Form'!$O$125</definedName>
    <definedName name="PlSert123DateIssued">'Reg Form'!$L$125</definedName>
    <definedName name="PlSert123Number">'Reg Form'!$K$125</definedName>
    <definedName name="PlSert203data">'Reg Form'!$O$126</definedName>
    <definedName name="PlSert203DateIssued">'Reg Form'!$L$126</definedName>
    <definedName name="PlSert203Number">'Reg Form'!$K$126</definedName>
    <definedName name="PlSex">'Reg Form'!$E$21</definedName>
    <definedName name="PlShoes_Size">'Reg Form'!#REF!</definedName>
    <definedName name="PlSkins_Color">'Reg Form'!$I$31</definedName>
    <definedName name="PlTank102DateIssued">'Reg Form'!$L$130</definedName>
    <definedName name="PlTankAt102">'Reg Form'!$O$130</definedName>
    <definedName name="PlTankNum102">'Reg Form'!$K$130</definedName>
    <definedName name="Pltel2">'Reg Form'!$E$19</definedName>
    <definedName name="PlTheirsNumber">'Reg Form'!$J$86</definedName>
    <definedName name="Plthers">'Reg Form'!$E$86</definedName>
    <definedName name="PlUSAVisaDateValid">'Reg Form'!$O$147</definedName>
    <definedName name="PlUSAVisaNumber">'Reg Form'!$K$147</definedName>
    <definedName name="PlVaccinationBookDateIssued">'Reg Form'!$L$154</definedName>
    <definedName name="PlVaccinationBookNumber">'Reg Form'!$K$154</definedName>
    <definedName name="PlVichDateIssued">'Reg Form'!$L$156</definedName>
    <definedName name="PlVichTestNumber">'Reg Form'!$K$156</definedName>
    <definedName name="PlWeight">'Reg Form'!$E$29</definedName>
    <definedName name="PlWifeFirstName">'Reg Form'!$E$65:$F$65</definedName>
    <definedName name="PlWifeSurname">'Reg Form'!$C$65:$D$65</definedName>
    <definedName name="PlYellowFeverVaccinationDateIssued">'Reg Form'!$L$150</definedName>
    <definedName name="PlYellowFwrAt">'Reg Form'!$O$150</definedName>
    <definedName name="PlYellowFwrNum">'Reg Form'!$K$150</definedName>
    <definedName name="pTaganrog_Harbour_Master">'Reg Form'!$M$101</definedName>
    <definedName name="RankCode">'Reg Form'!$AR$7:$AR$60</definedName>
    <definedName name="RankCosdeID">'Reg Form'!$AJ$7:$AJ$154</definedName>
    <definedName name="RankTable">'Reg Form'!$AH$7:$AH$154</definedName>
    <definedName name="snLicence1">'Reg Form'!$F$100</definedName>
    <definedName name="snLicence2">'Reg Form'!$F$102</definedName>
    <definedName name="snLicence3">'Reg Form'!$F$104</definedName>
    <definedName name="Valid_Untill">'Reg Form'!$O$122</definedName>
  </definedNames>
  <calcPr calcId="191029"/>
</workbook>
</file>

<file path=xl/calcChain.xml><?xml version="1.0" encoding="utf-8"?>
<calcChain xmlns="http://schemas.openxmlformats.org/spreadsheetml/2006/main">
  <c r="GJ2" i="1" l="1"/>
  <c r="GI2" i="1"/>
  <c r="B65" i="1"/>
  <c r="AB65" i="1"/>
  <c r="AB66" i="1" s="1"/>
  <c r="AB67" i="1"/>
  <c r="AC67" i="1" s="1"/>
  <c r="AB69" i="1"/>
  <c r="AC69" i="1" s="1"/>
  <c r="AB71" i="1"/>
  <c r="AC71" i="1" s="1"/>
  <c r="AB73" i="1"/>
  <c r="AC73" i="1" s="1"/>
  <c r="AB75" i="1"/>
  <c r="AC75" i="1" s="1"/>
  <c r="AB77" i="1"/>
  <c r="AC77" i="1" s="1"/>
  <c r="AB79" i="1"/>
  <c r="AC79" i="1" s="1"/>
  <c r="AB81" i="1"/>
  <c r="AC81" i="1" s="1"/>
  <c r="AB83" i="1"/>
  <c r="AC83" i="1" s="1"/>
  <c r="CT2" i="1"/>
  <c r="AR2" i="1"/>
  <c r="IG2" i="1"/>
  <c r="ID2" i="1"/>
  <c r="IA2" i="1"/>
  <c r="HX2" i="1"/>
  <c r="HU2" i="1"/>
  <c r="HR2" i="1"/>
  <c r="HO2" i="1"/>
  <c r="HL2" i="1"/>
  <c r="HI2" i="1"/>
  <c r="GB2" i="1"/>
  <c r="FY2" i="1"/>
  <c r="FV2" i="1"/>
  <c r="FS2" i="1"/>
  <c r="FA2" i="1"/>
  <c r="EX2" i="1"/>
  <c r="EU2" i="1"/>
  <c r="ES2" i="1"/>
  <c r="EP2" i="1"/>
  <c r="EL2" i="1"/>
  <c r="EJ2" i="1"/>
  <c r="EE2" i="1"/>
  <c r="EB2" i="1"/>
  <c r="DX2" i="1"/>
  <c r="DT2" i="1"/>
  <c r="DN2" i="1"/>
  <c r="DO2" i="1"/>
  <c r="DJ2" i="1"/>
  <c r="DE2" i="1"/>
  <c r="FO2" i="1"/>
  <c r="CW2" i="1"/>
  <c r="CI2" i="1"/>
  <c r="BO2" i="1"/>
  <c r="BF2" i="1"/>
  <c r="BD2" i="1"/>
  <c r="AU2" i="1"/>
  <c r="BW2" i="1"/>
  <c r="BH2" i="1"/>
  <c r="CR2" i="1"/>
  <c r="CQ2" i="1"/>
  <c r="CP2" i="1"/>
  <c r="CO2" i="1"/>
  <c r="CN2" i="1"/>
  <c r="CM2" i="1"/>
  <c r="CL2" i="1"/>
  <c r="CK2" i="1"/>
  <c r="CJ2" i="1"/>
  <c r="IN2" i="1"/>
  <c r="IL2" i="1"/>
  <c r="IK2" i="1"/>
  <c r="IJ2" i="1"/>
  <c r="II2" i="1"/>
  <c r="IH2" i="1"/>
  <c r="IF2" i="1"/>
  <c r="IE2" i="1"/>
  <c r="IC2" i="1"/>
  <c r="IB2" i="1"/>
  <c r="HZ2" i="1"/>
  <c r="HY2" i="1"/>
  <c r="HW2" i="1"/>
  <c r="HV2" i="1"/>
  <c r="HT2" i="1"/>
  <c r="HS2" i="1"/>
  <c r="HQ2" i="1"/>
  <c r="HP2" i="1"/>
  <c r="HN2" i="1"/>
  <c r="HM2" i="1"/>
  <c r="HK2" i="1"/>
  <c r="HJ2" i="1"/>
  <c r="HA2" i="1"/>
  <c r="GZ2" i="1"/>
  <c r="GY2" i="1"/>
  <c r="GX2" i="1"/>
  <c r="GW2" i="1"/>
  <c r="GV2" i="1"/>
  <c r="GU2" i="1"/>
  <c r="GT2" i="1"/>
  <c r="GS2" i="1"/>
  <c r="GR2" i="1"/>
  <c r="GQ2" i="1"/>
  <c r="GP2" i="1"/>
  <c r="GO2" i="1"/>
  <c r="GN2" i="1"/>
  <c r="GL2" i="1"/>
  <c r="GK2" i="1"/>
  <c r="GH2" i="1"/>
  <c r="GF2" i="1"/>
  <c r="GE2" i="1"/>
  <c r="GD2" i="1"/>
  <c r="GC2" i="1"/>
  <c r="GA2" i="1"/>
  <c r="FZ2" i="1"/>
  <c r="FX2" i="1"/>
  <c r="FW2" i="1"/>
  <c r="FU2" i="1"/>
  <c r="FT2" i="1"/>
  <c r="FL2" i="1"/>
  <c r="FJ2" i="1"/>
  <c r="FC2" i="1"/>
  <c r="FB2" i="1"/>
  <c r="EZ2" i="1"/>
  <c r="EY2" i="1"/>
  <c r="EW2" i="1"/>
  <c r="EV2" i="1"/>
  <c r="ET2" i="1"/>
  <c r="ER2" i="1"/>
  <c r="EQ2" i="1"/>
  <c r="EO2" i="1"/>
  <c r="EN2" i="1"/>
  <c r="EM2" i="1"/>
  <c r="EK2" i="1"/>
  <c r="EH2" i="1"/>
  <c r="EF2" i="1"/>
  <c r="EC2" i="1"/>
  <c r="BM2" i="1"/>
  <c r="CE2" i="1"/>
  <c r="CD2" i="1"/>
  <c r="CC2" i="1"/>
  <c r="CB2" i="1"/>
  <c r="CA2" i="1"/>
  <c r="BZ2" i="1"/>
  <c r="BY2" i="1"/>
  <c r="BX2" i="1"/>
  <c r="BU2" i="1"/>
  <c r="BT2" i="1"/>
  <c r="BS2" i="1"/>
  <c r="BR2" i="1"/>
  <c r="BQ2" i="1"/>
  <c r="BP2" i="1"/>
  <c r="BL2" i="1"/>
  <c r="BK2" i="1"/>
  <c r="BJ2" i="1"/>
  <c r="BI2" i="1"/>
  <c r="BG2" i="1"/>
  <c r="AZ2" i="1"/>
  <c r="AT2" i="1"/>
  <c r="AS2" i="1"/>
  <c r="AP2" i="1"/>
  <c r="AO2" i="1"/>
  <c r="AN2" i="1"/>
  <c r="AM2" i="1"/>
  <c r="AL2" i="1"/>
  <c r="AK2" i="1"/>
  <c r="AE2" i="1"/>
  <c r="AD2" i="1"/>
  <c r="AC2" i="1"/>
  <c r="AB2" i="1"/>
  <c r="AA2" i="1"/>
  <c r="Z2" i="1"/>
  <c r="Y2" i="1"/>
  <c r="X2" i="1"/>
  <c r="W2" i="1"/>
  <c r="V2" i="1"/>
  <c r="U2" i="1"/>
  <c r="T2" i="1"/>
  <c r="CX2" i="1"/>
  <c r="CG2" i="1"/>
  <c r="CF2" i="1"/>
  <c r="H8" i="1"/>
  <c r="H9" i="1"/>
  <c r="H10" i="1"/>
  <c r="H11" i="1"/>
  <c r="J12" i="1"/>
  <c r="K13" i="1"/>
  <c r="G15" i="1"/>
  <c r="H16" i="1"/>
  <c r="E20" i="1"/>
  <c r="P19" i="1"/>
  <c r="O15" i="1"/>
  <c r="O16" i="1"/>
  <c r="I86" i="1"/>
  <c r="G21" i="1"/>
  <c r="G22" i="1"/>
  <c r="G23" i="1"/>
  <c r="G24" i="1"/>
  <c r="K22" i="1"/>
  <c r="K25" i="1"/>
  <c r="G29" i="1"/>
  <c r="G30" i="1"/>
  <c r="G31" i="1"/>
  <c r="G33" i="1"/>
  <c r="J29" i="1"/>
  <c r="J30" i="1"/>
  <c r="J31" i="1"/>
  <c r="J35" i="1"/>
  <c r="G32" i="1"/>
  <c r="S135" i="1"/>
  <c r="T135" i="1" s="1"/>
  <c r="S134" i="1"/>
  <c r="T134" i="1" s="1"/>
  <c r="S133" i="1"/>
  <c r="T133" i="1" s="1"/>
  <c r="S132" i="1"/>
  <c r="T132" i="1" s="1"/>
  <c r="S131" i="1"/>
  <c r="T131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43" i="1"/>
  <c r="T143" i="1" s="1"/>
  <c r="S142" i="1"/>
  <c r="T142" i="1" s="1"/>
  <c r="S150" i="1"/>
  <c r="T150" i="1" s="1"/>
  <c r="S151" i="1"/>
  <c r="T151" i="1" s="1"/>
  <c r="S152" i="1"/>
  <c r="T152" i="1"/>
  <c r="X101" i="1"/>
  <c r="Y101" i="1" s="1"/>
  <c r="X103" i="1"/>
  <c r="X105" i="1"/>
  <c r="X106" i="1"/>
  <c r="Y106" i="1" s="1"/>
  <c r="X104" i="1"/>
  <c r="Y104" i="1" s="1"/>
  <c r="X102" i="1"/>
  <c r="Y102" i="1" s="1"/>
  <c r="A101" i="1"/>
  <c r="P94" i="1"/>
  <c r="R94" i="1" s="1"/>
  <c r="P95" i="1"/>
  <c r="R95" i="1" s="1"/>
  <c r="P96" i="1"/>
  <c r="R96" i="1" s="1"/>
  <c r="P93" i="1"/>
  <c r="R93" i="1" s="1"/>
  <c r="H39" i="1"/>
  <c r="H40" i="1"/>
  <c r="H41" i="1"/>
  <c r="M41" i="1"/>
  <c r="H44" i="1"/>
  <c r="L45" i="1"/>
  <c r="L47" i="1"/>
  <c r="L49" i="1"/>
  <c r="L51" i="1"/>
  <c r="K54" i="1"/>
  <c r="K55" i="1"/>
  <c r="I57" i="1"/>
  <c r="S114" i="1"/>
  <c r="T114" i="1" s="1"/>
  <c r="S123" i="1"/>
  <c r="T123" i="1" s="1"/>
  <c r="S122" i="1"/>
  <c r="T122" i="1" s="1"/>
  <c r="S121" i="1"/>
  <c r="T121" i="1" s="1"/>
  <c r="S120" i="1"/>
  <c r="T120" i="1" s="1"/>
  <c r="S119" i="1"/>
  <c r="T119" i="1" s="1"/>
  <c r="S117" i="1"/>
  <c r="T117" i="1" s="1"/>
  <c r="S116" i="1"/>
  <c r="T116" i="1" s="1"/>
  <c r="S115" i="1"/>
  <c r="T115" i="1" s="1"/>
  <c r="S153" i="1"/>
  <c r="T153" i="1" s="1"/>
  <c r="S154" i="1"/>
  <c r="T154" i="1" s="1"/>
  <c r="S158" i="1"/>
  <c r="T158" i="1" s="1"/>
  <c r="S157" i="1"/>
  <c r="T157" i="1" s="1"/>
  <c r="S156" i="1"/>
  <c r="T156" i="1" s="1"/>
  <c r="S155" i="1"/>
  <c r="T155" i="1" s="1"/>
  <c r="S110" i="1"/>
  <c r="T110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13" i="1"/>
  <c r="T113" i="1" s="1"/>
  <c r="S112" i="1"/>
  <c r="T112" i="1" s="1"/>
  <c r="S111" i="1"/>
  <c r="T111" i="1" s="1"/>
  <c r="Y103" i="1"/>
  <c r="Y105" i="1"/>
  <c r="S118" i="1"/>
  <c r="T118" i="1" s="1"/>
  <c r="W102" i="1"/>
  <c r="A103" i="1"/>
  <c r="A105" i="1"/>
  <c r="O94" i="1"/>
  <c r="I8" i="1"/>
  <c r="AD71" i="1"/>
  <c r="AD73" i="1"/>
  <c r="AD75" i="1"/>
  <c r="G2" i="1"/>
  <c r="F2" i="1"/>
  <c r="DF2" i="1"/>
  <c r="GM2" i="1"/>
  <c r="HH2" i="1"/>
  <c r="HF2" i="1"/>
  <c r="HD2" i="1"/>
  <c r="HC2" i="1"/>
  <c r="HB2" i="1"/>
  <c r="EI2" i="1"/>
  <c r="EG2" i="1"/>
  <c r="DZ2" i="1"/>
  <c r="DY2" i="1"/>
  <c r="DV2" i="1"/>
  <c r="DU2" i="1"/>
  <c r="DR2" i="1"/>
  <c r="DQ2" i="1"/>
  <c r="DP2" i="1"/>
  <c r="DM2" i="1"/>
  <c r="DL2" i="1"/>
  <c r="DK2" i="1"/>
  <c r="DI2" i="1"/>
  <c r="DH2" i="1"/>
  <c r="DG2" i="1"/>
  <c r="DD2" i="1"/>
  <c r="DC2" i="1"/>
  <c r="DB2" i="1"/>
  <c r="DA2" i="1"/>
  <c r="CZ2" i="1"/>
  <c r="BE2" i="1"/>
  <c r="BC2" i="1"/>
  <c r="BB2" i="1"/>
  <c r="BA2" i="1"/>
  <c r="AY2" i="1"/>
  <c r="AX2" i="1"/>
  <c r="AW2" i="1"/>
  <c r="AV2" i="1"/>
  <c r="S2" i="1"/>
  <c r="R2" i="1"/>
  <c r="Q2" i="1"/>
  <c r="P2" i="1"/>
  <c r="O2" i="1"/>
  <c r="N2" i="1"/>
  <c r="M2" i="1"/>
  <c r="L2" i="1"/>
  <c r="K2" i="1"/>
  <c r="J2" i="1"/>
  <c r="I2" i="1"/>
  <c r="H2" i="1"/>
  <c r="E2" i="1"/>
  <c r="W106" i="1"/>
  <c r="W104" i="1"/>
  <c r="F104" i="1"/>
  <c r="F106" i="1"/>
  <c r="F102" i="1"/>
  <c r="AB68" i="1"/>
  <c r="AB82" i="1"/>
  <c r="J86" i="1"/>
  <c r="Z83" i="1" s="1"/>
  <c r="AB80" i="1"/>
  <c r="AB78" i="1"/>
  <c r="AB74" i="1"/>
  <c r="AB72" i="1"/>
  <c r="AB70" i="1"/>
  <c r="AA65" i="1"/>
  <c r="B66" i="1"/>
  <c r="N42" i="1"/>
  <c r="AK16" i="1"/>
  <c r="AK15" i="1"/>
  <c r="AK14" i="1"/>
  <c r="AK13" i="1"/>
  <c r="AK12" i="1"/>
  <c r="AK11" i="1"/>
  <c r="AK10" i="1"/>
  <c r="AK9" i="1"/>
  <c r="AK8" i="1"/>
  <c r="AK7" i="1"/>
  <c r="AC65" i="1" l="1"/>
  <c r="Z65" i="1"/>
  <c r="Z73" i="1"/>
  <c r="Z71" i="1"/>
  <c r="Z69" i="1"/>
  <c r="Z77" i="1"/>
  <c r="Z67" i="1"/>
  <c r="Z75" i="1"/>
  <c r="F193" i="1"/>
  <c r="E193" i="1" s="1"/>
  <c r="AB76" i="1"/>
  <c r="AB84" i="1"/>
  <c r="Z79" i="1"/>
  <c r="Z81" i="1"/>
  <c r="F198" i="1"/>
  <c r="E198" i="1" s="1"/>
  <c r="AD76" i="1"/>
  <c r="GG2" i="1" s="1"/>
  <c r="X107" i="1"/>
  <c r="F196" i="1"/>
  <c r="E196" i="1" s="1"/>
  <c r="F194" i="1"/>
  <c r="E194" i="1" s="1"/>
  <c r="F199" i="1"/>
  <c r="E199" i="1" s="1"/>
  <c r="F191" i="1"/>
  <c r="E191" i="1" s="1"/>
  <c r="F190" i="1"/>
  <c r="E190" i="1" s="1"/>
  <c r="Q93" i="1"/>
  <c r="F192" i="1"/>
  <c r="E192" i="1" s="1"/>
  <c r="F195" i="1"/>
  <c r="E195" i="1" s="1"/>
  <c r="F197" i="1"/>
  <c r="E197" i="1" s="1"/>
</calcChain>
</file>

<file path=xl/sharedStrings.xml><?xml version="1.0" encoding="utf-8"?>
<sst xmlns="http://schemas.openxmlformats.org/spreadsheetml/2006/main" count="1833" uniqueCount="1444">
  <si>
    <t>(dd.mm.yyyy) например: 01.01.1954</t>
  </si>
  <si>
    <t>E-mail 2:</t>
  </si>
  <si>
    <t>From dd.mm.yyyy</t>
  </si>
  <si>
    <t>To dd.mm.yyyy</t>
  </si>
  <si>
    <t>Укажите с какими национальностями работали в экипаже, краткая характеристика.</t>
  </si>
  <si>
    <t xml:space="preserve">  (Boiler Suite)</t>
  </si>
  <si>
    <t>American Visa Type</t>
  </si>
  <si>
    <t>Schengen Visa Type</t>
  </si>
  <si>
    <t>Маршаловы О-ва подтверждение к рабочему диплому</t>
  </si>
  <si>
    <t>Мальта О-ва подтверждение к рабочему диплому</t>
  </si>
  <si>
    <t>Антигуа и Барбуда подтверждение к рабочему диплому</t>
  </si>
  <si>
    <t>Kaliningrad, "UTS-1 Atlantribflot"</t>
  </si>
  <si>
    <t>Kaliningrad, "UTS-3 Zapryba"</t>
  </si>
  <si>
    <t>UTS Center</t>
  </si>
  <si>
    <t>A</t>
  </si>
  <si>
    <t>B</t>
  </si>
  <si>
    <t>C</t>
  </si>
  <si>
    <t>D</t>
  </si>
  <si>
    <t>D4</t>
  </si>
  <si>
    <t>E</t>
  </si>
  <si>
    <t>G</t>
  </si>
  <si>
    <t>Visa Type</t>
  </si>
  <si>
    <t>Harbour Master</t>
  </si>
  <si>
    <t>С1/D</t>
  </si>
  <si>
    <t>Additional professional License 2:</t>
  </si>
  <si>
    <t>Valid Until</t>
  </si>
  <si>
    <t>STCW95 Endorsement (Cyprus):</t>
  </si>
  <si>
    <t>STCW95 Endorsement (Panama):</t>
  </si>
  <si>
    <t>Kyrgyzstan</t>
  </si>
  <si>
    <t>STCW95 Endorsement (Malta):</t>
  </si>
  <si>
    <t>STCW95 Endorsement (Antigua&amp;Barbuda):</t>
  </si>
  <si>
    <t>Oil tanker Advanced (STCW A-V/1 (9-14))</t>
  </si>
  <si>
    <t>7. Previous Sea Experience (for last 5 years, in normal chronological order)</t>
  </si>
  <si>
    <t>Multinational Crew Experience.</t>
  </si>
  <si>
    <t>Поля, помеченные этим цветом, заполняются только русско говорящими моряками.</t>
  </si>
  <si>
    <t>Вакцинация от Дифтерии</t>
  </si>
  <si>
    <t>Diphteria Vaccination</t>
  </si>
  <si>
    <t>Two-day hazardous materials training program including training and testing in general awareness/familiarization with the reguirements of subcharter "C", Title49, Code of Federal Regulations (USA)</t>
  </si>
  <si>
    <t>Сертификат о прохождении курсов мойки танков сырой нефтью для командного и рядового состава нефтяных танкеров и о прохождении курсов по работе с системами инертных газов.</t>
  </si>
  <si>
    <t>СЕРТИФИКАТ по транспортировке опасных веществ, с учетом положений раздела "С" 49 Кодекса Федеральных Правил США.</t>
  </si>
  <si>
    <t>СВИДЕТЕЛЬСТВО (большой сертификат) по транспортировке опасных веществ, с учетом положений раздела "С" 49 Кодекса Федеральных Правил США.</t>
  </si>
  <si>
    <t>ME Type</t>
  </si>
  <si>
    <t>Vesel Flag</t>
  </si>
  <si>
    <t>AGO</t>
  </si>
  <si>
    <t>Akasaka</t>
  </si>
  <si>
    <t>Allen</t>
  </si>
  <si>
    <t>Alpha (MAN B&amp;W)</t>
  </si>
  <si>
    <t>Anglo Belgian</t>
  </si>
  <si>
    <t>B&amp;W</t>
  </si>
  <si>
    <t>Bergen Diesel (Rolls-Royce)</t>
  </si>
  <si>
    <t>Bolnes</t>
  </si>
  <si>
    <t>British Polar</t>
  </si>
  <si>
    <t>Caterpillar</t>
  </si>
  <si>
    <t>Cegielski</t>
  </si>
  <si>
    <t>Crepelle</t>
  </si>
  <si>
    <t>Cummins</t>
  </si>
  <si>
    <t>Daihatsu</t>
  </si>
  <si>
    <t>De Industrie</t>
  </si>
  <si>
    <t>Deutz (incl MWM)</t>
  </si>
  <si>
    <t>Diesel</t>
  </si>
  <si>
    <t>DMR</t>
  </si>
  <si>
    <t>Fiat (GMT)</t>
  </si>
  <si>
    <t>Fuji</t>
  </si>
  <si>
    <t>General Motors</t>
  </si>
  <si>
    <t>Hanshin</t>
  </si>
  <si>
    <t>Kawasaki M.A.N.</t>
  </si>
  <si>
    <t>Liebknecht</t>
  </si>
  <si>
    <t>Mak (Caterpillar)</t>
  </si>
  <si>
    <t>Makita</t>
  </si>
  <si>
    <t>Man</t>
  </si>
  <si>
    <t>MAN B&amp;W</t>
  </si>
  <si>
    <t>Mirrlees</t>
  </si>
  <si>
    <t>Mitsubishi</t>
  </si>
  <si>
    <t>MTU</t>
  </si>
  <si>
    <t>MWM</t>
  </si>
  <si>
    <t>Niigata</t>
  </si>
  <si>
    <t>Nohab</t>
  </si>
  <si>
    <t>Normo</t>
  </si>
  <si>
    <t>Pielstick (Man-B&amp;W)</t>
  </si>
  <si>
    <t>Ruston</t>
  </si>
  <si>
    <t>Shkoda</t>
  </si>
  <si>
    <t>SKL</t>
  </si>
  <si>
    <t>Stork-Wartsila</t>
  </si>
  <si>
    <t>Stork-Werkspoor (SWD)</t>
  </si>
  <si>
    <t>Sulzer (Wartsila)</t>
  </si>
  <si>
    <t>Volvo Penta</t>
  </si>
  <si>
    <t>Wartsila</t>
  </si>
  <si>
    <t>Werkspoor</t>
  </si>
  <si>
    <t>Wichmann</t>
  </si>
  <si>
    <t>Yanmar</t>
  </si>
  <si>
    <t>General Electric</t>
  </si>
  <si>
    <t>English Electric</t>
  </si>
  <si>
    <t>St Vincent</t>
  </si>
  <si>
    <t>Norwegian International Register</t>
  </si>
  <si>
    <t>Netherlands Antilles</t>
  </si>
  <si>
    <t>Isle of Man</t>
  </si>
  <si>
    <t>Antigua&amp;B</t>
  </si>
  <si>
    <t>Anchor Handling/Tug/Supply/AHTS</t>
  </si>
  <si>
    <t>Bulk Carrier Ore Strengthened/Bulker</t>
  </si>
  <si>
    <t>Bulker</t>
  </si>
  <si>
    <t>Bulker/Container Carrier</t>
  </si>
  <si>
    <t>Bulker/Container Carrier/Timber-Container</t>
  </si>
  <si>
    <t>Bulker/General Cargo</t>
  </si>
  <si>
    <t>Bulker/Timber</t>
  </si>
  <si>
    <t>Cable Ship</t>
  </si>
  <si>
    <t>Chemical/Oil Tanker</t>
  </si>
  <si>
    <t>Container Ship</t>
  </si>
  <si>
    <t>Container/Timber/General Cargo Ship</t>
  </si>
  <si>
    <t>Crude Oil Tanker</t>
  </si>
  <si>
    <t>Dredger / Bucket Dredger</t>
  </si>
  <si>
    <t>Dry cargo</t>
  </si>
  <si>
    <t>Fishing</t>
  </si>
  <si>
    <t>Fishing trawler</t>
  </si>
  <si>
    <t>General Cargo Ship</t>
  </si>
  <si>
    <t>General Cargo Ship/Timber</t>
  </si>
  <si>
    <t>General Cargo Ship/Timber-Container</t>
  </si>
  <si>
    <t>General Cargo/Multi-Purpose Ship</t>
  </si>
  <si>
    <t>General Cargo/Part Refrigerated Ship</t>
  </si>
  <si>
    <t>Geophysical Research Vessel</t>
  </si>
  <si>
    <t>Heavy Lift Ship</t>
  </si>
  <si>
    <t>Multi-Purpose Ship</t>
  </si>
  <si>
    <t>Multi-Purpose Ship Geared, Heavy Lift (&gt; 100t) / Container Ship</t>
  </si>
  <si>
    <t>Multi-Purpose Ship/Container</t>
  </si>
  <si>
    <t>OBO Ore/Bulk/Oil Carrier/Bulker</t>
  </si>
  <si>
    <t>Parcels Tanker</t>
  </si>
  <si>
    <t>Passenger Vessel</t>
  </si>
  <si>
    <t>Passenger/Cargo Ship</t>
  </si>
  <si>
    <t>Passenger/Cruise Ship</t>
  </si>
  <si>
    <t>Products Tanker</t>
  </si>
  <si>
    <t>Reefer</t>
  </si>
  <si>
    <t>Reefer - fruit carrier</t>
  </si>
  <si>
    <t>Reefer/Refrigerated Fish Carrier</t>
  </si>
  <si>
    <t>Ro-Lo</t>
  </si>
  <si>
    <t>SRTMK</t>
  </si>
  <si>
    <t>STV / Sail Training Vessel</t>
  </si>
  <si>
    <t>Survey/Research Vessel</t>
  </si>
  <si>
    <t>Tanker</t>
  </si>
  <si>
    <t>Tanker Crude Oil Tanker</t>
  </si>
  <si>
    <t>Timber</t>
  </si>
  <si>
    <t>Timber-Container</t>
  </si>
  <si>
    <t>Container Ship/Geared</t>
  </si>
  <si>
    <t>Ro-Ro</t>
  </si>
  <si>
    <t>Ro-Ro Teu: …….</t>
  </si>
  <si>
    <t>Tug</t>
  </si>
  <si>
    <t>ULCC</t>
  </si>
  <si>
    <t>VLCC</t>
  </si>
  <si>
    <t>LPG</t>
  </si>
  <si>
    <t>LPGC</t>
  </si>
  <si>
    <t>LNG</t>
  </si>
  <si>
    <t>Сертификат по прохождению курсов по оказанию первой медицинской помощи.</t>
  </si>
  <si>
    <t>Сертификат по прохождению курсов по уходу за больными.</t>
  </si>
  <si>
    <t>Тест на СПИД</t>
  </si>
  <si>
    <t>VICH Test</t>
  </si>
  <si>
    <t>Tanker Familiarization (Oil / Chemical / Gas) (STCW A-V/1(2-7))</t>
  </si>
  <si>
    <t>37-2</t>
  </si>
  <si>
    <t>Сертификат о прохождении ознакомительной подготовки для работы на танкерах (Нефте. / Химовозах /  Газовозах).</t>
  </si>
  <si>
    <t>r3</t>
  </si>
  <si>
    <t>r1</t>
  </si>
  <si>
    <t>FemelRus</t>
  </si>
  <si>
    <t>NameRus</t>
  </si>
  <si>
    <t>OtchestvoRus</t>
  </si>
  <si>
    <t>FamelEngl</t>
  </si>
  <si>
    <t>NameEngl</t>
  </si>
  <si>
    <t>rankRus</t>
  </si>
  <si>
    <t>rank1</t>
  </si>
  <si>
    <t>PaspSeria</t>
  </si>
  <si>
    <t>PaspNum</t>
  </si>
  <si>
    <t>SeamBook/Date</t>
  </si>
  <si>
    <t>SeamBook/DateEXPARY</t>
  </si>
  <si>
    <t>dob</t>
  </si>
  <si>
    <t>pobEngl</t>
  </si>
  <si>
    <t>pobRus</t>
  </si>
  <si>
    <t>addressTown</t>
  </si>
  <si>
    <t>Exp1Fm</t>
  </si>
  <si>
    <t>Exp1To</t>
  </si>
  <si>
    <t>Exp1MV</t>
  </si>
  <si>
    <t>Exp1Rank</t>
  </si>
  <si>
    <t>Exp2Fm</t>
  </si>
  <si>
    <t>Exp2To</t>
  </si>
  <si>
    <t>Exp2MV</t>
  </si>
  <si>
    <t>Exp2Rank</t>
  </si>
  <si>
    <t>Exp3Fm</t>
  </si>
  <si>
    <t>Exp3To</t>
  </si>
  <si>
    <t>Exp3MV</t>
  </si>
  <si>
    <t>Exp3Rank</t>
  </si>
  <si>
    <t>B1</t>
  </si>
  <si>
    <t>B2</t>
  </si>
  <si>
    <t>r2</t>
  </si>
  <si>
    <t>NumberF8</t>
  </si>
  <si>
    <t>DataF8</t>
  </si>
  <si>
    <t>Судно на котором был с - по.</t>
  </si>
  <si>
    <t>Exp1MVType</t>
  </si>
  <si>
    <t>Exp1MVFlagEngl</t>
  </si>
  <si>
    <t>Exp1Gross</t>
  </si>
  <si>
    <t>Exp1TypeEng</t>
  </si>
  <si>
    <t>Exp1PowerEng</t>
  </si>
  <si>
    <t>Exp1Evaluetion</t>
  </si>
  <si>
    <t>Exp1ShipCo</t>
  </si>
  <si>
    <t>Exp1ShipCoAdres</t>
  </si>
  <si>
    <t>GrPasExpiryDate</t>
  </si>
  <si>
    <t>GrPas/Place iisue</t>
  </si>
  <si>
    <t>IntPasName</t>
  </si>
  <si>
    <t>IntPasFamaly</t>
  </si>
  <si>
    <t>IntPasPOBRus</t>
  </si>
  <si>
    <t>IntPasPOBEngl</t>
  </si>
  <si>
    <t>IntPasSeria</t>
  </si>
  <si>
    <t>IntPasNum</t>
  </si>
  <si>
    <t>IntPas/Date</t>
  </si>
  <si>
    <t>IntPasExpiryDate</t>
  </si>
  <si>
    <t>IntPas/Place Iisue</t>
  </si>
  <si>
    <t>sex</t>
  </si>
  <si>
    <t>thersadress</t>
  </si>
  <si>
    <t>Lang1</t>
  </si>
  <si>
    <t>Lang2</t>
  </si>
  <si>
    <t>Exp2MVType</t>
  </si>
  <si>
    <t>Exp2MVFlagEngl</t>
  </si>
  <si>
    <t>Exp2Gross</t>
  </si>
  <si>
    <t>Exp2TypeEng</t>
  </si>
  <si>
    <t>Exp2PowerEng</t>
  </si>
  <si>
    <t>Exp2Evaluetion</t>
  </si>
  <si>
    <t>Exp2ShipCo</t>
  </si>
  <si>
    <t>PogarnikGAMRP</t>
  </si>
  <si>
    <t>Exp3MVFlagEngl</t>
  </si>
  <si>
    <t>Exp3MVType</t>
  </si>
  <si>
    <t>Exp3Gross</t>
  </si>
  <si>
    <t>Exp3TypeEng</t>
  </si>
  <si>
    <t>Exp3PowerEng</t>
  </si>
  <si>
    <t>Exp3Evaluetion</t>
  </si>
  <si>
    <t>Exp3ShipCo</t>
  </si>
  <si>
    <t>AttestatsiyaGAMRP</t>
  </si>
  <si>
    <t>Exp4Fm</t>
  </si>
  <si>
    <t>Exp4To</t>
  </si>
  <si>
    <t>Exp4MV</t>
  </si>
  <si>
    <t>Exp4MVFlagEngl</t>
  </si>
  <si>
    <t>Exp4MVType</t>
  </si>
  <si>
    <t>Exp4Gross</t>
  </si>
  <si>
    <t>Exp4TypeEng</t>
  </si>
  <si>
    <t>Exp4PowerEng</t>
  </si>
  <si>
    <t>Exp4Rank</t>
  </si>
  <si>
    <t>Exp4Evaluetion</t>
  </si>
  <si>
    <t>Exp4ShipCo</t>
  </si>
  <si>
    <t>Exp5Fm</t>
  </si>
  <si>
    <t>Exp5To</t>
  </si>
  <si>
    <t>Exp5MV</t>
  </si>
  <si>
    <t>Exp5MVFlagEngl</t>
  </si>
  <si>
    <t>Exp5MVType</t>
  </si>
  <si>
    <t>Exp5Gross</t>
  </si>
  <si>
    <t>Exp5TypeEng</t>
  </si>
  <si>
    <t>Exp5PowerEng</t>
  </si>
  <si>
    <t>Exp5Rank</t>
  </si>
  <si>
    <t>Exp5Evaluetion</t>
  </si>
  <si>
    <t>Exp5ShipCo</t>
  </si>
  <si>
    <t>Category</t>
  </si>
  <si>
    <t>Crew Department</t>
  </si>
  <si>
    <t>education</t>
  </si>
  <si>
    <t>DiplomType</t>
  </si>
  <si>
    <t>DiplomTorgov</t>
  </si>
  <si>
    <t>CERT OF COMPET NUM</t>
  </si>
  <si>
    <t>Cert_of_Commpet_Issued_by</t>
  </si>
  <si>
    <t>Cert_of_Commpet_at1</t>
  </si>
  <si>
    <t>CERT OF COMPET AT</t>
  </si>
  <si>
    <t>END_Type</t>
  </si>
  <si>
    <t>ENDORSMENT NUM</t>
  </si>
  <si>
    <t>END_Isued_At</t>
  </si>
  <si>
    <t>END_Isued_by</t>
  </si>
  <si>
    <t>ENDORSMENT AT</t>
  </si>
  <si>
    <t>END_2_Type</t>
  </si>
  <si>
    <t>END_2_ NUM</t>
  </si>
  <si>
    <t>END2_Isued_At</t>
  </si>
  <si>
    <t>END2_Isued_by</t>
  </si>
  <si>
    <t>END_ 2_ AT</t>
  </si>
  <si>
    <t>END_3_Type</t>
  </si>
  <si>
    <t>END_3_ NUM</t>
  </si>
  <si>
    <t>END3_Isued_At</t>
  </si>
  <si>
    <t>END3_Isued_by</t>
  </si>
  <si>
    <t>END_ 3_ AT</t>
  </si>
  <si>
    <t>RADARTorgov</t>
  </si>
  <si>
    <t>RADAR ARPA NUM</t>
  </si>
  <si>
    <t>RADAR ARPA AT</t>
  </si>
  <si>
    <t>RADAR_Issued_By</t>
  </si>
  <si>
    <t>SARPTorgov</t>
  </si>
  <si>
    <t>SARP NUM</t>
  </si>
  <si>
    <t>SARP AT</t>
  </si>
  <si>
    <t>SARP_Issued_By</t>
  </si>
  <si>
    <t>SalaryITF</t>
  </si>
  <si>
    <t>DengCargoNum</t>
  </si>
  <si>
    <t>DengCargoNumAt</t>
  </si>
  <si>
    <t>GMDSSTorgov</t>
  </si>
  <si>
    <t>GMDSS NUM</t>
  </si>
  <si>
    <t>GMDSS_Type</t>
  </si>
  <si>
    <t>GMDSS_Isued_by</t>
  </si>
  <si>
    <t>GMDSS_Date_Isued_at</t>
  </si>
  <si>
    <t>GMDSS AT</t>
  </si>
  <si>
    <t>FIRE FIGHT LIFESAIV RESCUE NUM</t>
  </si>
  <si>
    <t>FIRE FIGHT LIFESAIV RESCUE AT</t>
  </si>
  <si>
    <t>MEDICAL CARE FIRST AIDS NUM</t>
  </si>
  <si>
    <t>MEDICAL CARE FIRST AIDS AT</t>
  </si>
  <si>
    <t>MEDICAL CARE FIRST AIDS_Issued_By</t>
  </si>
  <si>
    <t>UTSenter</t>
  </si>
  <si>
    <t>GEN TANK SAFET NUM 101</t>
  </si>
  <si>
    <t>GEN TANK SAFET AT 101</t>
  </si>
  <si>
    <t>UTSenter_Tanker</t>
  </si>
  <si>
    <t>TANK NUM 102</t>
  </si>
  <si>
    <t>TANK AT 102</t>
  </si>
  <si>
    <t>COW_ Inert_ Gas__Num</t>
  </si>
  <si>
    <t>COW_ Inert_ Gas__At</t>
  </si>
  <si>
    <t>COW_ Inert_ Gas_Issued_By</t>
  </si>
  <si>
    <t>Chem_ Tank_Advanced_Num</t>
  </si>
  <si>
    <t>Chem_ Tank_Advanced_At</t>
  </si>
  <si>
    <t>Chem_ Tank_Advanced_Issued_By</t>
  </si>
  <si>
    <t>Gas_ Tank_Advanced_Num</t>
  </si>
  <si>
    <t>Gas_ Tank_Advanced_At</t>
  </si>
  <si>
    <t>Gas_ Tank_Advanced_Issued_By</t>
  </si>
  <si>
    <t>ABLE SEAMAN NUM</t>
  </si>
  <si>
    <t>ABLE SEAMAN AT</t>
  </si>
  <si>
    <t>AbleSeamanTorgov</t>
  </si>
  <si>
    <t>ENGINE RATINGS NUM</t>
  </si>
  <si>
    <t>ENGINE RATINGS AT</t>
  </si>
  <si>
    <t>EnginRatingTorgov</t>
  </si>
  <si>
    <t>HalthCertIsuedAt</t>
  </si>
  <si>
    <t>DS</t>
  </si>
  <si>
    <t>PersDetailes</t>
  </si>
  <si>
    <t>DateOfFilling</t>
  </si>
  <si>
    <t>Alimenti_Flag</t>
  </si>
  <si>
    <t>Alimenti_Text</t>
  </si>
  <si>
    <t>Insuranse_Flag</t>
  </si>
  <si>
    <t>Insuranse_Text</t>
  </si>
  <si>
    <t>Foto</t>
  </si>
  <si>
    <t>sert123number</t>
  </si>
  <si>
    <t>sert123data</t>
  </si>
  <si>
    <t>sert123IssuedBy</t>
  </si>
  <si>
    <t>sert203number</t>
  </si>
  <si>
    <t>sert203data</t>
  </si>
  <si>
    <t>sert203IssuedBy</t>
  </si>
  <si>
    <t>sert114number</t>
  </si>
  <si>
    <t>sert114data</t>
  </si>
  <si>
    <t>sert114_Issued_By</t>
  </si>
  <si>
    <t>sert115number</t>
  </si>
  <si>
    <t>sert115data</t>
  </si>
  <si>
    <t>SalaryMin</t>
  </si>
  <si>
    <t>SalaryReq</t>
  </si>
  <si>
    <t>maritalstat</t>
  </si>
  <si>
    <t>childnumber</t>
  </si>
  <si>
    <t>sitezenchip</t>
  </si>
  <si>
    <t>addressRegion</t>
  </si>
  <si>
    <t>adressStreet</t>
  </si>
  <si>
    <t>tel2</t>
  </si>
  <si>
    <t>email</t>
  </si>
  <si>
    <t>thers</t>
  </si>
  <si>
    <t>SeamBook/Plasce issue</t>
  </si>
  <si>
    <t>FlagRegistrSeamBook</t>
  </si>
  <si>
    <t>SBookSeria</t>
  </si>
  <si>
    <t>SBookNumber</t>
  </si>
  <si>
    <t>SBookIsued</t>
  </si>
  <si>
    <t>SBookValid</t>
  </si>
  <si>
    <t>SBookFlagIssued</t>
  </si>
  <si>
    <t>GrPasSeria</t>
  </si>
  <si>
    <t>GrPasNum</t>
  </si>
  <si>
    <t>GrPas/Date</t>
  </si>
  <si>
    <t>ColourOfHeir</t>
  </si>
  <si>
    <t>ColourOfEyes</t>
  </si>
  <si>
    <t>Height</t>
  </si>
  <si>
    <t>Weight</t>
  </si>
  <si>
    <t>ShoesSize</t>
  </si>
  <si>
    <t>HatSize</t>
  </si>
  <si>
    <t>SuitSize</t>
  </si>
  <si>
    <t>AmericanVisaType</t>
  </si>
  <si>
    <t>AmericanVisaValidTill</t>
  </si>
  <si>
    <t>SchengenVisaType</t>
  </si>
  <si>
    <t>SchengenVisaValidTill</t>
  </si>
  <si>
    <t>LiberianEndNumber</t>
  </si>
  <si>
    <t>LiberianEndDateIssued</t>
  </si>
  <si>
    <t>LiberianEndDateValid</t>
  </si>
  <si>
    <t>BahamianEndNumber</t>
  </si>
  <si>
    <t>BahamianEndDateIssued</t>
  </si>
  <si>
    <t>BahamianEndDateValid</t>
  </si>
  <si>
    <t>CyprusEndNumber</t>
  </si>
  <si>
    <t>CyprusDateIssued</t>
  </si>
  <si>
    <t>CyprusDateValid</t>
  </si>
  <si>
    <t>PanamianEndNumber</t>
  </si>
  <si>
    <t>PanamianDateIssued</t>
  </si>
  <si>
    <t>PanamianDateValid</t>
  </si>
  <si>
    <t>MarshalEndNumbe</t>
  </si>
  <si>
    <t>MarshalDateIssued</t>
  </si>
  <si>
    <t>MarshalDateValid</t>
  </si>
  <si>
    <t>MaltaEndNumber</t>
  </si>
  <si>
    <t>MaltaDateIssued</t>
  </si>
  <si>
    <t>MaltaDateValid</t>
  </si>
  <si>
    <t>AntiguaEndNumber</t>
  </si>
  <si>
    <t>AntiguaDateIssued</t>
  </si>
  <si>
    <t>AntiguaDateValid</t>
  </si>
  <si>
    <t>GermanyEndNumber</t>
  </si>
  <si>
    <t>GermanyDateIssued</t>
  </si>
  <si>
    <t>GermanyDateValid</t>
  </si>
  <si>
    <t>St VincentEndNumber</t>
  </si>
  <si>
    <t>St VincentDateIssued</t>
  </si>
  <si>
    <t>St VincentDateValid</t>
  </si>
  <si>
    <t>VichDate</t>
  </si>
  <si>
    <t>DiphtheriaDate</t>
  </si>
  <si>
    <t>YellowFeverDate</t>
  </si>
  <si>
    <t>b3</t>
  </si>
  <si>
    <t>DengCargoIssuedBy</t>
  </si>
  <si>
    <t/>
  </si>
  <si>
    <t>Пожарник</t>
  </si>
  <si>
    <t>Аттестация</t>
  </si>
  <si>
    <t>Master on ships of less 500 engaged in near-coastal voyages;</t>
  </si>
  <si>
    <t>OOW Navigational on ships of less 500 engaged in near-coastal voyages;</t>
  </si>
  <si>
    <t xml:space="preserve">, </t>
  </si>
  <si>
    <t>Lang 2</t>
  </si>
  <si>
    <t>Master on ships of less 500 near-coastal voyages;</t>
  </si>
  <si>
    <t>Master;</t>
  </si>
  <si>
    <t>Ch. Mate;</t>
  </si>
  <si>
    <t>OOW Navigational;</t>
  </si>
  <si>
    <t>GMDSS General Operator;</t>
  </si>
  <si>
    <t>GMDSS Restricted Operator;</t>
  </si>
  <si>
    <t>1st Class Engineer / Cheif Engineer;</t>
  </si>
  <si>
    <t>1st Class Engineer Category A / Cheif Engineer;</t>
  </si>
  <si>
    <t>2nd Class Engineer Category A / 2nd Engineer;</t>
  </si>
  <si>
    <t>Second Engineer;</t>
  </si>
  <si>
    <t>2Class Engineer Category B;</t>
  </si>
  <si>
    <t>2nd Class Engineer Category B / Cheif Engineer;</t>
  </si>
  <si>
    <t>3rd Class Engineer Category B / 2nd Engineer;</t>
  </si>
  <si>
    <t>3rd Class Engineer Category A / OOW Engineering;</t>
  </si>
  <si>
    <t>3Class Engineer Category B;</t>
  </si>
  <si>
    <t>1st Class Refregerator Engineer;</t>
  </si>
  <si>
    <t>2nd Class Refregerator Engineer;</t>
  </si>
  <si>
    <t>Electrical Engineer Officer;</t>
  </si>
  <si>
    <t>1st Class Electrical Engineer Officer;</t>
  </si>
  <si>
    <t>2nd Class Electrical Engineer Officer;</t>
  </si>
  <si>
    <t>3rd Class Electrical Engineer Officer;</t>
  </si>
  <si>
    <t>1st Class Radio Officer;</t>
  </si>
  <si>
    <t>Radio Officer;</t>
  </si>
  <si>
    <t>2nd Class Radio Officer;</t>
  </si>
  <si>
    <t>2nd Class Radioelectronic;</t>
  </si>
  <si>
    <t>1st Class Radioelectrinic;</t>
  </si>
  <si>
    <t>GMDSS Radioelectronic;</t>
  </si>
  <si>
    <t>1 Class GMDSS Radioelectronic;</t>
  </si>
  <si>
    <t>2 Class GMDSS Radioelectronic;</t>
  </si>
  <si>
    <t>1 Class Radioelectronic;</t>
  </si>
  <si>
    <t>2 Class Radioelectronic;</t>
  </si>
  <si>
    <t>2 Class Radio Officer;</t>
  </si>
  <si>
    <t>1 Class Radio Officer;</t>
  </si>
  <si>
    <t>Rating forming part of a navigation watch / Able Seaman (International);</t>
  </si>
  <si>
    <t>Ship's cook  (International);</t>
  </si>
  <si>
    <t>Electrician (National);</t>
  </si>
  <si>
    <t>Tankerman (National);</t>
  </si>
  <si>
    <t>Pumpman;</t>
  </si>
  <si>
    <t>Oiler (International);</t>
  </si>
  <si>
    <t>Oiler (National);</t>
  </si>
  <si>
    <t>Fitter - Oiler (International);</t>
  </si>
  <si>
    <t>Turner (National);</t>
  </si>
  <si>
    <t>Welder (National);</t>
  </si>
  <si>
    <t>Steward (National);</t>
  </si>
  <si>
    <t>Ship's Turner - Motorman;</t>
  </si>
  <si>
    <t>Rating forming part of a engineering watch / Ship's Motorman;</t>
  </si>
  <si>
    <t>Enging Ratings;</t>
  </si>
  <si>
    <t>Second rate seaman fish processing service;</t>
  </si>
  <si>
    <t>First rate seaman;</t>
  </si>
  <si>
    <t>Bosun / Boatswain (National);</t>
  </si>
  <si>
    <t>Bosun / Boatswain (International);</t>
  </si>
  <si>
    <t>Trainee of Master</t>
  </si>
  <si>
    <t>Executive Master</t>
  </si>
  <si>
    <t>Drill Operator</t>
  </si>
  <si>
    <t>Ass. Drill Operator</t>
  </si>
  <si>
    <t>Fish Mate</t>
  </si>
  <si>
    <t>Ch. Sailor</t>
  </si>
  <si>
    <t>O/S-Buder Operator</t>
  </si>
  <si>
    <t>O/S-Fish Factory Worker</t>
  </si>
  <si>
    <t>Fish Master</t>
  </si>
  <si>
    <t>Cleaner</t>
  </si>
  <si>
    <t>Trainee of Ch. Engineer</t>
  </si>
  <si>
    <t>Pipe Engineer</t>
  </si>
  <si>
    <t>Purser</t>
  </si>
  <si>
    <t>Ass. Purser</t>
  </si>
  <si>
    <t>Animator</t>
  </si>
  <si>
    <t>R.M.U. Operator</t>
  </si>
  <si>
    <t>Bartender</t>
  </si>
  <si>
    <t xml:space="preserve">Staff Captain </t>
  </si>
  <si>
    <t>1st. Mate</t>
  </si>
  <si>
    <t xml:space="preserve">Junior 3rd. Officer </t>
  </si>
  <si>
    <t xml:space="preserve">Navigation Officer </t>
  </si>
  <si>
    <t xml:space="preserve">Security Officer </t>
  </si>
  <si>
    <t xml:space="preserve">Safety Officer </t>
  </si>
  <si>
    <t xml:space="preserve">Quarter master </t>
  </si>
  <si>
    <t xml:space="preserve">Deck Utilityman </t>
  </si>
  <si>
    <t xml:space="preserve">Cleaner Utility Cleaner </t>
  </si>
  <si>
    <t xml:space="preserve">Junior 3rd. Engineer </t>
  </si>
  <si>
    <t xml:space="preserve">Engine Cadet </t>
  </si>
  <si>
    <t xml:space="preserve">Reefer Barge Engineer </t>
  </si>
  <si>
    <t xml:space="preserve">Engine Repairman </t>
  </si>
  <si>
    <t xml:space="preserve">Engine Storekeeper </t>
  </si>
  <si>
    <t xml:space="preserve">Chief Aircon Technician </t>
  </si>
  <si>
    <t xml:space="preserve">Chief Electronic Technician </t>
  </si>
  <si>
    <t xml:space="preserve">Fireman Watertender </t>
  </si>
  <si>
    <t xml:space="preserve">Assistant Electronic Air Technician </t>
  </si>
  <si>
    <t xml:space="preserve">Deck Engine Mechanic </t>
  </si>
  <si>
    <t xml:space="preserve">Diesel Mechanic </t>
  </si>
  <si>
    <t xml:space="preserve">Unlicensed Junior Engineer </t>
  </si>
  <si>
    <t xml:space="preserve">Engine Utility </t>
  </si>
  <si>
    <t xml:space="preserve">Assistant Driller </t>
  </si>
  <si>
    <t xml:space="preserve">Derrick man </t>
  </si>
  <si>
    <t xml:space="preserve">Shaker Hand Mudman </t>
  </si>
  <si>
    <t xml:space="preserve">Crane Operator </t>
  </si>
  <si>
    <t xml:space="preserve">Floorman Roughnecks </t>
  </si>
  <si>
    <t xml:space="preserve">Senior Mechanic Electrician </t>
  </si>
  <si>
    <t xml:space="preserve">Rig Electrician </t>
  </si>
  <si>
    <t xml:space="preserve">Rig Mechanic </t>
  </si>
  <si>
    <t xml:space="preserve">Ballast Controlman </t>
  </si>
  <si>
    <t xml:space="preserve">Lead Fisherman Watch </t>
  </si>
  <si>
    <t xml:space="preserve">Skilled Fisherman Watch </t>
  </si>
  <si>
    <t xml:space="preserve">Fisherman Watch </t>
  </si>
  <si>
    <t xml:space="preserve">Ordinary Fisherman Watch </t>
  </si>
  <si>
    <t xml:space="preserve">Baader Technician </t>
  </si>
  <si>
    <t xml:space="preserve">Laundry Man </t>
  </si>
  <si>
    <t xml:space="preserve">Laundry Keeper </t>
  </si>
  <si>
    <t xml:space="preserve">1st. Cook </t>
  </si>
  <si>
    <t xml:space="preserve">2nd. Cook </t>
  </si>
  <si>
    <t xml:space="preserve">3rd. Cook </t>
  </si>
  <si>
    <t xml:space="preserve">Diving Tender </t>
  </si>
  <si>
    <t xml:space="preserve">Chief Survey Technician </t>
  </si>
  <si>
    <t xml:space="preserve">Senior Survey Technician </t>
  </si>
  <si>
    <t xml:space="preserve">Survey Technician </t>
  </si>
  <si>
    <t xml:space="preserve">Assistant Survey Technician </t>
  </si>
  <si>
    <t xml:space="preserve">Junior Survey Technician </t>
  </si>
  <si>
    <t xml:space="preserve">Head Room Steward </t>
  </si>
  <si>
    <t xml:space="preserve">Cabin Steward Stewardess </t>
  </si>
  <si>
    <t xml:space="preserve">Sub Sea Engineer </t>
  </si>
  <si>
    <t xml:space="preserve">Cement Crew </t>
  </si>
  <si>
    <t xml:space="preserve">Casing Crew </t>
  </si>
  <si>
    <t xml:space="preserve">Rig Welder </t>
  </si>
  <si>
    <t xml:space="preserve">Mud Engineer </t>
  </si>
  <si>
    <t xml:space="preserve"> / </t>
  </si>
  <si>
    <t>None</t>
  </si>
  <si>
    <t>Orders Only</t>
  </si>
  <si>
    <t>English 50%</t>
  </si>
  <si>
    <t>English 55%</t>
  </si>
  <si>
    <t>English 60%</t>
  </si>
  <si>
    <t>English 65%</t>
  </si>
  <si>
    <t>English 70%</t>
  </si>
  <si>
    <t>English 75%</t>
  </si>
  <si>
    <t>English 80%</t>
  </si>
  <si>
    <t>English 85%</t>
  </si>
  <si>
    <t>English 90%</t>
  </si>
  <si>
    <t>English 95%</t>
  </si>
  <si>
    <t>English 100%</t>
  </si>
  <si>
    <t>Dutch</t>
  </si>
  <si>
    <t>French</t>
  </si>
  <si>
    <t>Hungarian</t>
  </si>
  <si>
    <t>Italian</t>
  </si>
  <si>
    <t>Norwegian</t>
  </si>
  <si>
    <t>Swedish</t>
  </si>
  <si>
    <t>German</t>
  </si>
  <si>
    <t>Polish</t>
  </si>
  <si>
    <t>Slovenian</t>
  </si>
  <si>
    <t>Bulgarian</t>
  </si>
  <si>
    <t>Finnish</t>
  </si>
  <si>
    <t>Greek</t>
  </si>
  <si>
    <t>Lithuanian</t>
  </si>
  <si>
    <t>Spanish</t>
  </si>
  <si>
    <t>Yugoslavian</t>
  </si>
  <si>
    <t>Murmansk, UTS "Kolpino";</t>
  </si>
  <si>
    <t>Murmansk, TS MSCO "Kolpino";</t>
  </si>
  <si>
    <t>Murmansk, UTS "Khabarovsk";</t>
  </si>
  <si>
    <t>Rostov-Na-Dony, UTS "Gals";</t>
  </si>
  <si>
    <t>Rostov-Na-Dony, UTS "Don";</t>
  </si>
  <si>
    <t>Novorossiysk, BUTS "NGM Akademiy";</t>
  </si>
  <si>
    <t>Novorossiysk, UTS "Ruza";</t>
  </si>
  <si>
    <t>Novorossiysk, BUTS "NOVOSHIP";</t>
  </si>
  <si>
    <t>Uyzno-Sakhalinsk, BUTS "Dalnev. Morsk.Company";</t>
  </si>
  <si>
    <t>Kholmsk, UTS "Sakhalinsk.Morsk.Parokhodstvo";</t>
  </si>
  <si>
    <t>Nakhodka, UTS "Araks";</t>
  </si>
  <si>
    <t>Nakhodka, UTS "Primorskoe Morsk.Parokhodstvo";</t>
  </si>
  <si>
    <t>Vladivostok, BUTS "Vladiv-k Morsk.Tekhnikum";</t>
  </si>
  <si>
    <t>Vladivostok, UTS "Dalnev-ayy Morsk.Akademy";</t>
  </si>
  <si>
    <t>Vladivostok, UTS "Dalnev-e Morsk.Parokhodstvo";</t>
  </si>
  <si>
    <t>Vladivostok, "Vladivostok Morskoy UTS";</t>
  </si>
  <si>
    <t>Petrozavodsk, UTS "SovBOPtrans";</t>
  </si>
  <si>
    <t>S.Petersburg, BUTS "Tekhnischeskiy Litsey";</t>
  </si>
  <si>
    <t>S.Petersburg, BUTS "Trenagerniy Tsentr";</t>
  </si>
  <si>
    <t>S.Petersburg, UTS "Uchebniy-1";</t>
  </si>
  <si>
    <t>S.Petersburg, UTS "Kamensk";</t>
  </si>
  <si>
    <t>S.Petersburg, "Makarov Akademy";</t>
  </si>
  <si>
    <t>S.Petersburg, "Marin Sistems";</t>
  </si>
  <si>
    <t>Astrakhan, "Nord-Caspian Shipping Co";</t>
  </si>
  <si>
    <t>Murmansk Harbour Master;</t>
  </si>
  <si>
    <t>Novorossiysk Harbour Master;</t>
  </si>
  <si>
    <t>Arkhangelsk Harbour Master;</t>
  </si>
  <si>
    <t>St.Petersburg Harbour Master;</t>
  </si>
  <si>
    <t>Kaliningrad Harbour Master;</t>
  </si>
  <si>
    <t>Vladivostok Harbour Master;</t>
  </si>
  <si>
    <t>Nakhodka Harbour Master;</t>
  </si>
  <si>
    <t>Nakhodka, GAMRP;</t>
  </si>
  <si>
    <t>Magadan Harbour Master;</t>
  </si>
  <si>
    <t>Rostov-on-Donu Harbour Master;</t>
  </si>
  <si>
    <t>Petrazavodsk Harbour Master;</t>
  </si>
  <si>
    <t>Taganrog Harbour Master;</t>
  </si>
  <si>
    <t>Ilyichevsk (Ukraine) Harbour Master;</t>
  </si>
  <si>
    <t>Kherson (Ukraine) Harbour Master;</t>
  </si>
  <si>
    <t>Klaipeda (Lithhuanua) Port Authority;</t>
  </si>
  <si>
    <t>Tallinn (Estonia) Harbour Master;</t>
  </si>
  <si>
    <t>хочет работать</t>
  </si>
  <si>
    <t>хочет работать - данные импортированы с анкеты.</t>
  </si>
  <si>
    <t>Index:</t>
  </si>
  <si>
    <t>Cit-ship 2:</t>
  </si>
  <si>
    <t>RU</t>
  </si>
  <si>
    <t>AL</t>
  </si>
  <si>
    <t>DZ</t>
  </si>
  <si>
    <t>AR</t>
  </si>
  <si>
    <t>AM</t>
  </si>
  <si>
    <t>AU</t>
  </si>
  <si>
    <t>AT</t>
  </si>
  <si>
    <t>AZ</t>
  </si>
  <si>
    <t>BH</t>
  </si>
  <si>
    <t>BY</t>
  </si>
  <si>
    <t>BE</t>
  </si>
  <si>
    <t>BZ</t>
  </si>
  <si>
    <t>BO</t>
  </si>
  <si>
    <t>BR</t>
  </si>
  <si>
    <t>BN</t>
  </si>
  <si>
    <t>BG</t>
  </si>
  <si>
    <t>CA</t>
  </si>
  <si>
    <t>CB</t>
  </si>
  <si>
    <t>Caribbean</t>
  </si>
  <si>
    <t>CL</t>
  </si>
  <si>
    <t>CN</t>
  </si>
  <si>
    <t>CO</t>
  </si>
  <si>
    <t>CR</t>
  </si>
  <si>
    <t>HR</t>
  </si>
  <si>
    <t>CZ</t>
  </si>
  <si>
    <t>DK</t>
  </si>
  <si>
    <t>DO</t>
  </si>
  <si>
    <t>EC</t>
  </si>
  <si>
    <t>EG</t>
  </si>
  <si>
    <t>SV</t>
  </si>
  <si>
    <t>EE</t>
  </si>
  <si>
    <t>FO</t>
  </si>
  <si>
    <t>Faroe Islands</t>
  </si>
  <si>
    <t>FI</t>
  </si>
  <si>
    <t>FR</t>
  </si>
  <si>
    <t>MK</t>
  </si>
  <si>
    <t>GE</t>
  </si>
  <si>
    <t>DE</t>
  </si>
  <si>
    <t>GR</t>
  </si>
  <si>
    <t>GT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</si>
  <si>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</si>
  <si>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</si>
  <si>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</si>
  <si>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</si>
  <si>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</si>
  <si>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</si>
  <si>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</si>
  <si>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</si>
  <si>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</si>
  <si>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</si>
  <si>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</si>
  <si>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</si>
  <si>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</si>
  <si>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</si>
  <si>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</si>
  <si>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</si>
  <si>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KR</t>
  </si>
  <si>
    <t>Korea</t>
  </si>
  <si>
    <t>KW</t>
  </si>
  <si>
    <t>KG</t>
  </si>
  <si>
    <t>LV</t>
  </si>
  <si>
    <t>LB</t>
  </si>
  <si>
    <t>LY</t>
  </si>
  <si>
    <t>LI</t>
  </si>
  <si>
    <t>LT</t>
  </si>
  <si>
    <t>LU</t>
  </si>
  <si>
    <t>MO</t>
  </si>
  <si>
    <t>MY</t>
  </si>
  <si>
    <t>MV</t>
  </si>
  <si>
    <t>MX</t>
  </si>
  <si>
    <t>MC</t>
  </si>
  <si>
    <t>Monaco</t>
  </si>
  <si>
    <t>MN</t>
  </si>
  <si>
    <t>Mongolia</t>
  </si>
  <si>
    <t>MA</t>
  </si>
  <si>
    <t>Morocco</t>
  </si>
  <si>
    <t>NZ</t>
  </si>
  <si>
    <t>NI</t>
  </si>
  <si>
    <t>NO</t>
  </si>
  <si>
    <t>OM</t>
  </si>
  <si>
    <t>PK</t>
  </si>
  <si>
    <t>PA</t>
  </si>
  <si>
    <t>PY</t>
  </si>
  <si>
    <t>PE</t>
  </si>
  <si>
    <t>PH</t>
  </si>
  <si>
    <t>PL</t>
  </si>
  <si>
    <t>PT</t>
  </si>
  <si>
    <t>PR</t>
  </si>
  <si>
    <t>Puerto Rico</t>
  </si>
  <si>
    <t>QA</t>
  </si>
  <si>
    <t>RO</t>
  </si>
  <si>
    <t>SA</t>
  </si>
  <si>
    <t>SP</t>
  </si>
  <si>
    <t>SG</t>
  </si>
  <si>
    <t>SK</t>
  </si>
  <si>
    <t>SI</t>
  </si>
  <si>
    <t>ZA</t>
  </si>
  <si>
    <t>ES</t>
  </si>
  <si>
    <t>SE</t>
  </si>
  <si>
    <t>CH</t>
  </si>
  <si>
    <t>SY</t>
  </si>
  <si>
    <t>TW</t>
  </si>
  <si>
    <t>TH</t>
  </si>
  <si>
    <t>NL</t>
  </si>
  <si>
    <t>TT</t>
  </si>
  <si>
    <t>TN</t>
  </si>
  <si>
    <t>UA</t>
  </si>
  <si>
    <t>AE</t>
  </si>
  <si>
    <t>GB</t>
  </si>
  <si>
    <t>US</t>
  </si>
  <si>
    <t>UY</t>
  </si>
  <si>
    <t>UZ</t>
  </si>
  <si>
    <t>VE</t>
  </si>
  <si>
    <t>VN</t>
  </si>
  <si>
    <t>YE</t>
  </si>
  <si>
    <t>ZW</t>
  </si>
  <si>
    <t>A&amp;B</t>
  </si>
  <si>
    <t>BAG</t>
  </si>
  <si>
    <t>BEL</t>
  </si>
  <si>
    <t>BOL</t>
  </si>
  <si>
    <t>CAM</t>
  </si>
  <si>
    <t>CY</t>
  </si>
  <si>
    <t>EST</t>
  </si>
  <si>
    <t>GER</t>
  </si>
  <si>
    <t>GIB</t>
  </si>
  <si>
    <t>HOND</t>
  </si>
  <si>
    <t>LA</t>
  </si>
  <si>
    <t>LIB</t>
  </si>
  <si>
    <t>MAL</t>
  </si>
  <si>
    <t>NIS</t>
  </si>
  <si>
    <t>PAN</t>
  </si>
  <si>
    <t>RUS</t>
  </si>
  <si>
    <t>SIN</t>
  </si>
  <si>
    <t>STW</t>
  </si>
  <si>
    <t>TU</t>
  </si>
  <si>
    <t>Rem</t>
  </si>
  <si>
    <t xml:space="preserve"> </t>
  </si>
  <si>
    <t>Master/Ch.Mate/OOW Eng. 1,2,3"M" 7"O"</t>
  </si>
  <si>
    <t>Ch. Eng./ 2 Eng./OOW Eng. 3,4,5,6"M"</t>
  </si>
  <si>
    <t>OOW Eng. 1,2,3,7"O"</t>
  </si>
  <si>
    <t>2 Eng./OOW Eng. 3,4,5,6"M"</t>
  </si>
  <si>
    <t>OOW Eng. 3,4,5,6"O"</t>
  </si>
  <si>
    <t>Ch.Mate/OOW Eng. 1,2,3"M" 7"O"</t>
  </si>
  <si>
    <t>Fields marked by this color only for Russian</t>
  </si>
  <si>
    <t>Fields marked by this color are compulsory</t>
  </si>
  <si>
    <t>Other (Patronimic) Name:</t>
  </si>
  <si>
    <t>Place of Birth:</t>
  </si>
  <si>
    <t>Desired Salary:</t>
  </si>
  <si>
    <t>Minimum Desired salary:</t>
  </si>
  <si>
    <t>Other (Patronimic) Name</t>
  </si>
  <si>
    <t>STCW95 Endorsement (Marshall):</t>
  </si>
  <si>
    <t>STCW95 Endorsement (St.Vincent&amp;Grenadines):</t>
  </si>
  <si>
    <t>STCW95 Endorsement (Liberia):</t>
  </si>
  <si>
    <t>STCW95 Endorsement (Bahamas):</t>
  </si>
  <si>
    <t>STCW95 Endorsement (Norway):</t>
  </si>
  <si>
    <t>1</t>
  </si>
  <si>
    <t>Petrol Tanker</t>
  </si>
  <si>
    <t>Petrol, Gas Tanker</t>
  </si>
  <si>
    <t>Gas Tanker</t>
  </si>
  <si>
    <t>Type</t>
  </si>
  <si>
    <t>Bald</t>
  </si>
  <si>
    <t>Petrol, Chemical Tanker</t>
  </si>
  <si>
    <t>Petrol, Chemical, Gas Tanker</t>
  </si>
  <si>
    <t>Chemical, Gas Tanker</t>
  </si>
  <si>
    <t>Chemical Tanker</t>
  </si>
  <si>
    <t>ARPA Training. Resolution XX A. 482 (XII). STCW 95 A-I/12, A-II/1, A-II/2, B-I/12. IMO course 1.08.</t>
  </si>
  <si>
    <t>Radar Observer and Plotting Training. Resolution XVIII A.483 (XII). STCW 95 A-I/12, A-II/1, A-II/2, B-I/12. IMO course 1.07 and 1.09 .</t>
  </si>
  <si>
    <t>Basic Survival Techniques. (STCW A-VI/1-1,2,3,4). IMO course 1.13, 1.19, 1.20, 1.21.</t>
  </si>
  <si>
    <t>Proficiency in Survival Craft Training. (STCW A-VI/2-1). IMO course 1.23 .</t>
  </si>
  <si>
    <t>Advanced Fire Fighting Training. (STCW 95 A-VI/3). IMO course 2.03.</t>
  </si>
  <si>
    <t>Medical Care Training. (STCW 95, A-VI/4-2). IMO course 1,15.</t>
  </si>
  <si>
    <t>COW Inert Gas Training. MARPOL-73/78. IMO course 2.02 .</t>
  </si>
  <si>
    <t>Hazmat/Hazardous Materials Training. STCW 95, B-V/4, B-V/5.</t>
  </si>
  <si>
    <t>BTM. Bridge Team Management Course, STCW 95,
A-II/2, "Effective bridge teamwork procedures", B-VIII/2
part 3-1. IMO Course 1.22 .</t>
  </si>
  <si>
    <t>Ship Handling Course STCW 95, A-II/2:
"Manoeuvring and handling ship in all conditions" Subparagraphs:1,2,3,4,5,6,7,8,9 and 15.</t>
  </si>
  <si>
    <t>ECDIS. "Exploitation of electronic chart display and information system". IMO Res A.817 (19)</t>
  </si>
  <si>
    <t>Large Ship's Handling STCW 95, B-V/3 . "Additional training for desk officers on large ships and ships with unusual manoeuvring characteristics" .</t>
  </si>
  <si>
    <t>Ro-Ro / Passenger ship Crowd Management (STCW A-V/2-1)</t>
  </si>
  <si>
    <t>Ro-Ro / Passenger ship Crisis Management (STCW A-V/2-5)</t>
  </si>
  <si>
    <t>Ro-Ro / Pass. Cargo Safety, Hull Integrity (STCW A-V/2-4)</t>
  </si>
  <si>
    <t>Ro-Ro / Passenger Safety Training (STCW A-V/2-3)</t>
  </si>
  <si>
    <t xml:space="preserve">Ro-Ro / Passenger Ship Familiarization </t>
  </si>
  <si>
    <t>Code</t>
  </si>
  <si>
    <t>1 Class Radioperator;</t>
  </si>
  <si>
    <t>Lesozavodsk</t>
  </si>
  <si>
    <t>Samara, UTS "Dundaga";</t>
  </si>
  <si>
    <t>Rostov-on-Dony, SBTC "Sedovets"</t>
  </si>
  <si>
    <t>Moscow State Acad of Water Transp.</t>
  </si>
  <si>
    <t>Odessa (Ukraine) State Maritime Academy;</t>
  </si>
  <si>
    <t>Odessa (Ukraine) Maritime Training Centre;</t>
  </si>
  <si>
    <t>Kiev Centre of Training and Cert of Seafar.</t>
  </si>
  <si>
    <t>Kiev TS "Ukrrechflot";</t>
  </si>
  <si>
    <t>Gdynia</t>
  </si>
  <si>
    <t>Riga (Latvia) LS Crewing &amp; Training Co. Ltd.</t>
  </si>
  <si>
    <t>Riga (Latvia) Lapa Training Centr.</t>
  </si>
  <si>
    <t>Riga (Latvian) Seaman Register;</t>
  </si>
  <si>
    <t>Kaliningrad, Balt.Gos.Akad. R.Flota;</t>
  </si>
  <si>
    <t>Kaliningrad, "Balt. Mor.Trenag.Sentr";</t>
  </si>
  <si>
    <t>Petrop-Kamch., STS "K.Redkokasha"</t>
  </si>
  <si>
    <t>Uyzno-Sakh., "BUTS "Dalnev. Morsk.Comp"</t>
  </si>
  <si>
    <t>DM</t>
  </si>
  <si>
    <t>RankCode2</t>
  </si>
  <si>
    <t>ISM - Code "Safety Management System on the board of the ship. IMO A.741 (18), A.787 (19), A.848 (20).</t>
  </si>
  <si>
    <t>Medical First Aid Training. (STCW A-VI/4-1). . IMO course 1,14.</t>
  </si>
  <si>
    <t>2</t>
  </si>
  <si>
    <t>3</t>
  </si>
  <si>
    <t>4</t>
  </si>
  <si>
    <t>7</t>
  </si>
  <si>
    <t>10</t>
  </si>
  <si>
    <t>11</t>
  </si>
  <si>
    <t>12</t>
  </si>
  <si>
    <t>8</t>
  </si>
  <si>
    <t>5</t>
  </si>
  <si>
    <t>Fields marked by this color Filled Correctly.</t>
  </si>
  <si>
    <t>Поля, помеченные этим цветом, заполнены правильно.</t>
  </si>
  <si>
    <t>Sm</t>
  </si>
  <si>
    <t>buts</t>
  </si>
  <si>
    <t>Murmansk Basin Hospital;</t>
  </si>
  <si>
    <t>Murmansk, TS MSCO</t>
  </si>
  <si>
    <t>Kaliningrad, "Baltiyskiy Mor.Trenag.Sentr";</t>
  </si>
  <si>
    <t>Kaliningrad, "Balt.Gos.Akademy R.Flota";</t>
  </si>
  <si>
    <t>Kaliningrad, "UTS-1 Atlantribflot";</t>
  </si>
  <si>
    <t>Kaliningrad, "UTS-3 Zapryba";</t>
  </si>
  <si>
    <t>Astrakhan, "Nord-Caspian Shipping Co"</t>
  </si>
  <si>
    <t>S.Petersburg, "Marine Systems";</t>
  </si>
  <si>
    <t>Petropavlovsk-Kamchatsk, STS "K.Redkokasha"</t>
  </si>
  <si>
    <t>Uyzno-Sakh., "BUTS "Dalnev. Morsk.Company"</t>
  </si>
  <si>
    <t>Kholmsk Harbour Master;</t>
  </si>
  <si>
    <t>Kholmsk, UTS "Sakhalinsk.Morsk.Parokh-vo"</t>
  </si>
  <si>
    <t>N.Novgorod, SBTC "Volga-1"</t>
  </si>
  <si>
    <t>Rostov-Na-Dony;</t>
  </si>
  <si>
    <t>LTV</t>
  </si>
  <si>
    <t>Pls Check yourself Some of  fields still unfilled / Проверте себя нижеуказанные поля не заполнены:</t>
  </si>
  <si>
    <t>Your E-mail:</t>
  </si>
  <si>
    <t>Сертификат "Судовой офицер и персонал по безопасности" ("офицер по охране судна") Международного кодекса по охране судов и портовых средств (МК ОСПС) (ISPS Code) A/2.1.6., A/12.1 and A/12.2, и СОЛАС-74 глава XI-2.</t>
  </si>
  <si>
    <t>Ship Security Officer Training. (ISPS Code) A/2.1.6., A/12.1 and A/12.2, and SOLAS-74 chart. XI-2.</t>
  </si>
  <si>
    <t>Rejected</t>
  </si>
  <si>
    <t>Master/Ch.Mate/OOW Nav. 1,2,3"M" 7"O"</t>
  </si>
  <si>
    <t>Ch.Mate/OOW Nav. 1,2,3"M" 7"O"</t>
  </si>
  <si>
    <t>OOW Nav. 1,2,3,7"O"</t>
  </si>
  <si>
    <t>Сан. Винсент подтверждение к рабочему диплому;</t>
  </si>
  <si>
    <t>Fin Number / Личный номер</t>
  </si>
  <si>
    <t>STCW95 Endorsement (___________):</t>
  </si>
  <si>
    <t>_____________ подтверждение к рабочему диплому</t>
  </si>
  <si>
    <t>1 - Navigation;2 - Cargo Handling and Stowage;3 - Controlling the operation of the ship and care of persons on board;7 - Radiocommunications.</t>
  </si>
  <si>
    <t>3 - Controlling the operation of the ship and care of persons on board;4 - Marine Engineering;5 - Electrical, electronic and control engineering;6 - Maintenance and repair.</t>
  </si>
  <si>
    <t>7 - Radiocommunications.</t>
  </si>
  <si>
    <t>Function</t>
  </si>
  <si>
    <t xml:space="preserve"> And Level</t>
  </si>
  <si>
    <t>M - Management level</t>
  </si>
  <si>
    <t>O - Operational level.</t>
  </si>
  <si>
    <t>Dagestan</t>
  </si>
  <si>
    <t>Moldova</t>
  </si>
  <si>
    <t>Osetiya</t>
  </si>
  <si>
    <t>Turkmenistan</t>
  </si>
  <si>
    <t>Limitations</t>
  </si>
  <si>
    <t>MSO - Motor-ships only</t>
  </si>
  <si>
    <t>SSO - Steamship only</t>
  </si>
  <si>
    <t>SVO - Sailing vessels only</t>
  </si>
  <si>
    <t>NCVO - None-cargo vessels only</t>
  </si>
  <si>
    <t>ICQ Number:</t>
  </si>
  <si>
    <t>Бак. Анализ (1 раз в 10 лет)</t>
  </si>
  <si>
    <t>Wife maiden name:</t>
  </si>
  <si>
    <t>Девичья фамилия жены:</t>
  </si>
  <si>
    <t>Master - Капитан</t>
  </si>
  <si>
    <t>Chief Mate - Ст. Пом. Капитана</t>
  </si>
  <si>
    <t>2nd. Mate - 2 пом. Капитана</t>
  </si>
  <si>
    <t>3rd. Mate - 3 пом. Капитана</t>
  </si>
  <si>
    <t>Radio Officer - Пом. Капитана по Радиоэлектронике</t>
  </si>
  <si>
    <t>Chief Radio Officer - Пом. Капитана по Радиоэлектронике</t>
  </si>
  <si>
    <t>Bosun - Боцман</t>
  </si>
  <si>
    <t>A/Seaman - Матрос 1 кл.</t>
  </si>
  <si>
    <t>O/Seaman - Матрос 2 кл.</t>
  </si>
  <si>
    <t>A/Seaman - electric - Матрос - электрик</t>
  </si>
  <si>
    <t>A/Seaman - motorman - Матрос - моторист</t>
  </si>
  <si>
    <t>A/Seaman - pumpman - Матрос - донкерман</t>
  </si>
  <si>
    <t>A/Seaman - reef.machinist - Матрос - реф. Машинист</t>
  </si>
  <si>
    <t>Seaman-Cleaner - Матрос-уборщик</t>
  </si>
  <si>
    <t>Deck Cadet - Курсант (практикант)</t>
  </si>
  <si>
    <t>Carpenter - плотник</t>
  </si>
  <si>
    <t>Ch. Engineer - Ст. Механик</t>
  </si>
  <si>
    <t>2nd. Engineer - 2 Механик</t>
  </si>
  <si>
    <t>3rd. Engineer - 3 Механик</t>
  </si>
  <si>
    <t>4th. Engineer - 4 Механик</t>
  </si>
  <si>
    <t>El. Engineer - Эл. Механик</t>
  </si>
  <si>
    <t>2 El. Engineer - 2 Эл. Механик</t>
  </si>
  <si>
    <t>3 El. Engineer - 3 Эл. Механик</t>
  </si>
  <si>
    <t>4 El. Engineer - 4 Эл. Механик</t>
  </si>
  <si>
    <t>Chief Electrician - Ст. Электрик</t>
  </si>
  <si>
    <t>Electrician - Электрик</t>
  </si>
  <si>
    <t>Reef. Engineer - Реф. Механик</t>
  </si>
  <si>
    <t>2 Reef. Engineer- 2 Реф. Механик</t>
  </si>
  <si>
    <t>3 Reef. Engineer - 3 Реф. Механик</t>
  </si>
  <si>
    <t>Reef. Machinist - Реф. Машинист</t>
  </si>
  <si>
    <t>Motorman - Моторист</t>
  </si>
  <si>
    <t>Motorman - еlectric - Моторист - электрик</t>
  </si>
  <si>
    <t>Motorman - turner - Моторист - токарь</t>
  </si>
  <si>
    <t>Motorman - welder - Моторист - сварщик</t>
  </si>
  <si>
    <t>Turner - токарь</t>
  </si>
  <si>
    <t>Electrician - электрик</t>
  </si>
  <si>
    <t>Welder - Сварщик</t>
  </si>
  <si>
    <t>Fitter - Слесарь</t>
  </si>
  <si>
    <t>Fitter-motorman - Слесарь - Моторист</t>
  </si>
  <si>
    <t>Boiler - Котельный Машинист</t>
  </si>
  <si>
    <t>Boiler-motorman - Кот. Машинист-моторист</t>
  </si>
  <si>
    <t>Oiler - Моторист</t>
  </si>
  <si>
    <t>Asst. Oiler - Пом. Моториста</t>
  </si>
  <si>
    <t>Machinist - машинист</t>
  </si>
  <si>
    <t>Pumpman - донкерман</t>
  </si>
  <si>
    <t>Chef COOK - Ст. повар</t>
  </si>
  <si>
    <t>Cook-Baiker - Повар-Пекарь</t>
  </si>
  <si>
    <t>Steward - Буфетчик</t>
  </si>
  <si>
    <t>Stewardess - Буфетчица</t>
  </si>
  <si>
    <t>Waiter - Официант</t>
  </si>
  <si>
    <t>Dishwasher - прачка</t>
  </si>
  <si>
    <t>Ch. Laundry - старшая прачка</t>
  </si>
  <si>
    <t xml:space="preserve">Washman - </t>
  </si>
  <si>
    <t>Ship's Cook - Повар</t>
  </si>
  <si>
    <t>Nurse - мед. Сестра</t>
  </si>
  <si>
    <t>Dentist - дантист</t>
  </si>
  <si>
    <t>Doctor - доктор</t>
  </si>
  <si>
    <t>O/Seaman-doctor - матрос-доктор</t>
  </si>
  <si>
    <t>Ch. Mate - Ст. Пом. Капитана</t>
  </si>
  <si>
    <t>= PlUSAVisaNumber</t>
  </si>
  <si>
    <t>=PlSchengenVisaNumber</t>
  </si>
  <si>
    <t>Without ARPA</t>
  </si>
  <si>
    <t>3000 kW or more</t>
  </si>
  <si>
    <t>Over 3000 kW</t>
  </si>
  <si>
    <t>&gt; 3000 kWt</t>
  </si>
  <si>
    <t>up to 3000 kwt</t>
  </si>
  <si>
    <t>less than 3000 kwt</t>
  </si>
  <si>
    <t>&lt; 3000 kwt</t>
  </si>
  <si>
    <t>less than 5000 kwt</t>
  </si>
  <si>
    <t>&lt; 3000 GRT</t>
  </si>
  <si>
    <t>&gt; 3000 GRT</t>
  </si>
  <si>
    <t>3000 or more</t>
  </si>
  <si>
    <t>spectakles V=-1,0/-1,0</t>
  </si>
  <si>
    <t>Lenses v=+1,0/+1,0</t>
  </si>
  <si>
    <t>Corrective Lenses V+1,0/+1,0</t>
  </si>
  <si>
    <t>Lenses V=-1,5/-1,5</t>
  </si>
  <si>
    <t>corrective lenses (v=+1,5/+1,5)</t>
  </si>
  <si>
    <t>Corrective Lenses v=2,0d</t>
  </si>
  <si>
    <t>Lenses v=+2,0;v= +2,0</t>
  </si>
  <si>
    <t>lenses v=-2,5/-2,5</t>
  </si>
  <si>
    <t>Lenses V=-3,0/-3,0</t>
  </si>
  <si>
    <t>v= -4,0</t>
  </si>
  <si>
    <t>Not valid for oil, gas and chemical tankers</t>
  </si>
  <si>
    <t>Lens Y=-0,75 / &lt; 3260 Kwt 1 st RU / 2 st Ru &lt; 8815 Kwt</t>
  </si>
  <si>
    <t>2 st RU &lt; 815 kwt 1 st ru &lt; 3260 kwt</t>
  </si>
  <si>
    <t>2-ступ РУ менее 349 квт 1 ст. РУ менее 1396 квт</t>
  </si>
  <si>
    <t>Y=+2,5 / 2-x stup RU &lt;349 kwt</t>
  </si>
  <si>
    <t>1 st RU &lt; 1396 kwt</t>
  </si>
  <si>
    <t>500 gross tonnage or more</t>
  </si>
  <si>
    <t>500GT or more</t>
  </si>
  <si>
    <t>coastal voyages less than 500 R.T.</t>
  </si>
  <si>
    <t>Less 500 Reg Tonn</t>
  </si>
  <si>
    <t>750kW or more</t>
  </si>
  <si>
    <t>BRT &gt; 3000</t>
  </si>
  <si>
    <t>3000GT or more</t>
  </si>
  <si>
    <t>&lt; 3000 GT</t>
  </si>
  <si>
    <t>Less than 3000</t>
  </si>
  <si>
    <t>less than 500</t>
  </si>
  <si>
    <t>less than 3000</t>
  </si>
  <si>
    <t>between 500-3000 GT</t>
  </si>
  <si>
    <t>ICE of 250 to 750 kWt</t>
  </si>
  <si>
    <t>less 750 kwt</t>
  </si>
  <si>
    <t>less than 750 kwt</t>
  </si>
  <si>
    <t xml:space="preserve"> &amp; Level</t>
  </si>
  <si>
    <t>Murmansk, UTS "Zlatoust";</t>
  </si>
  <si>
    <t>Arkhangelsk, UTS "Kotlas";</t>
  </si>
  <si>
    <t>Arkhangelsk, UTS "Belokamenka";</t>
  </si>
  <si>
    <t>Petrozavodsk, TS "White Sea&amp;Onega Shipping Co";</t>
  </si>
  <si>
    <t>Mariupol (Ukraine) Harbour Master;</t>
  </si>
  <si>
    <t>Odessa (Ukraine) Harbour Master;</t>
  </si>
  <si>
    <t>Sevastopol (Ukraine) Harbour Master;</t>
  </si>
  <si>
    <t>Izmail (Ukraine) Harbour Master;</t>
  </si>
  <si>
    <t>Latvian Seaman Register;</t>
  </si>
  <si>
    <t>Murmansk, Basun Hospital;</t>
  </si>
  <si>
    <t>N.Novgorod, SBTC "Volga-1";</t>
  </si>
  <si>
    <t>3. Information in Russian</t>
  </si>
  <si>
    <t>VLBC</t>
  </si>
  <si>
    <t>Conteiner/Ro-Ro</t>
  </si>
  <si>
    <t>Conteiner/Reefer</t>
  </si>
  <si>
    <t>Ferry</t>
  </si>
  <si>
    <t>Passenger/Ro-Ro</t>
  </si>
  <si>
    <t>Cruise Ship</t>
  </si>
  <si>
    <t>Coaster</t>
  </si>
  <si>
    <t>Tour Boat</t>
  </si>
  <si>
    <t>River Casino Boat</t>
  </si>
  <si>
    <t>Yacht</t>
  </si>
  <si>
    <t>Barge</t>
  </si>
  <si>
    <t>Sea Tug</t>
  </si>
  <si>
    <t>Firefighting Tug</t>
  </si>
  <si>
    <t>Standby safety vessel</t>
  </si>
  <si>
    <t>Seismographic Vsl.</t>
  </si>
  <si>
    <t>Crane ship</t>
  </si>
  <si>
    <t xml:space="preserve">Drill Ship </t>
  </si>
  <si>
    <t>Wood-chip carrier</t>
  </si>
  <si>
    <t>Fish factory</t>
  </si>
  <si>
    <t>Icebreaker</t>
  </si>
  <si>
    <t>Tank barge</t>
  </si>
  <si>
    <t>Bulker/Cement Carrier</t>
  </si>
  <si>
    <t>Pipe carrier</t>
  </si>
  <si>
    <t>Pipe layer</t>
  </si>
  <si>
    <t>Pilot ship</t>
  </si>
  <si>
    <t>Patrol ship</t>
  </si>
  <si>
    <t>Diving support ship</t>
  </si>
  <si>
    <t>Dril Platform</t>
  </si>
  <si>
    <t>General Cargo Ship Cement Carrier/Bulker</t>
  </si>
  <si>
    <t>Hydrographic Research Vsl.</t>
  </si>
  <si>
    <t>Meteorological Vsl.</t>
  </si>
  <si>
    <t>Oceanographic Vsl.</t>
  </si>
  <si>
    <t>Automobile Carrier</t>
  </si>
  <si>
    <t>Chemical/Products Tanker</t>
  </si>
  <si>
    <t>UnitedStates</t>
  </si>
  <si>
    <t>Canada</t>
  </si>
  <si>
    <t>Afghanistan</t>
  </si>
  <si>
    <t>Albania</t>
  </si>
  <si>
    <t>Algeria</t>
  </si>
  <si>
    <t>AmericanSamoa</t>
  </si>
  <si>
    <t>Andorra</t>
  </si>
  <si>
    <t>Angola</t>
  </si>
  <si>
    <t>Anguilla</t>
  </si>
  <si>
    <t>Antigua</t>
  </si>
  <si>
    <t>Argentina</t>
  </si>
  <si>
    <t>Armenia</t>
  </si>
  <si>
    <t>Aruba</t>
  </si>
  <si>
    <t>Australia</t>
  </si>
  <si>
    <t>Austria</t>
  </si>
  <si>
    <t>Azerbaijan</t>
  </si>
  <si>
    <t>Azores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</si>
  <si>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</si>
  <si>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</si>
  <si>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</si>
  <si>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</si>
  <si>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</si>
  <si>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</si>
  <si>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</si>
  <si>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</si>
  <si>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</si>
  <si>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</si>
  <si>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</si>
  <si>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BosniaHerzegovina</t>
  </si>
  <si>
    <t>Botswana</t>
  </si>
  <si>
    <t>Brazil</t>
  </si>
  <si>
    <t>BritishVirginIslands</t>
  </si>
  <si>
    <t>Brunei</t>
  </si>
  <si>
    <t>Bulgaria</t>
  </si>
  <si>
    <t>Burkina Faso</t>
  </si>
  <si>
    <t>Burundi</t>
  </si>
  <si>
    <t>Cambodia</t>
  </si>
  <si>
    <t>Cameroon</t>
  </si>
  <si>
    <t>CapeVerdeIslands</t>
  </si>
  <si>
    <t>CaymanIslands</t>
  </si>
  <si>
    <t>CentralAfricanRepublic</t>
  </si>
  <si>
    <t>Chad</t>
  </si>
  <si>
    <t>Chile</t>
  </si>
  <si>
    <t>China</t>
  </si>
  <si>
    <t>Colombia</t>
  </si>
  <si>
    <t>ComorosIslands</t>
  </si>
  <si>
    <t>Congo</t>
  </si>
  <si>
    <t>CookIslands</t>
  </si>
  <si>
    <t>CostaRica</t>
  </si>
  <si>
    <t>CotedIvoire</t>
  </si>
  <si>
    <t>Croatia</t>
  </si>
  <si>
    <t>Cuba</t>
  </si>
  <si>
    <t>Curacao</t>
  </si>
  <si>
    <t>Cyprus</t>
  </si>
  <si>
    <t>CzechRepublic</t>
  </si>
  <si>
    <t>Denmark</t>
  </si>
  <si>
    <t>Dijibouti</t>
  </si>
  <si>
    <t>Dominica</t>
  </si>
  <si>
    <t>DominicanRepublic</t>
  </si>
  <si>
    <t>Equador</t>
  </si>
  <si>
    <t>Egypt</t>
  </si>
  <si>
    <t>ElSalvador</t>
  </si>
  <si>
    <t>EquatorialGuinea</t>
  </si>
  <si>
    <t>Eritrea</t>
  </si>
  <si>
    <t>Estonia</t>
  </si>
  <si>
    <t>Ethiopia</t>
  </si>
  <si>
    <t>FalklandIslands</t>
  </si>
  <si>
    <t>Fiji Islands</t>
  </si>
  <si>
    <t>Finland</t>
  </si>
  <si>
    <t>France</t>
  </si>
  <si>
    <t>FrenchAntilles</t>
  </si>
  <si>
    <t>FrenchGuiana</t>
  </si>
  <si>
    <t>FrenchPolynesia</t>
  </si>
  <si>
    <t>Gabon</t>
  </si>
  <si>
    <t>GalapagosIslands</t>
  </si>
  <si>
    <t>Gambia</t>
  </si>
  <si>
    <t>Georgia</t>
  </si>
  <si>
    <t>Germany</t>
  </si>
  <si>
    <t>Ghana</t>
  </si>
  <si>
    <t>Gibraltar</t>
  </si>
  <si>
    <t>GilbertIslands</t>
  </si>
  <si>
    <t>Greece</t>
  </si>
  <si>
    <t>Greenland</t>
  </si>
  <si>
    <t>Grenada</t>
  </si>
  <si>
    <t>Guadeloupe</t>
  </si>
  <si>
    <t>Guam</t>
  </si>
  <si>
    <t>Guantanamo</t>
  </si>
  <si>
    <t>Guatemala</t>
  </si>
  <si>
    <t>Guinea</t>
  </si>
  <si>
    <t>GuineaBissau</t>
  </si>
  <si>
    <t>Guyana</t>
  </si>
  <si>
    <t>Haiti</t>
  </si>
  <si>
    <t>Holland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</si>
  <si>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</si>
  <si>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</si>
  <si>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</si>
  <si>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</si>
  <si>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</si>
  <si>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</si>
  <si>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</si>
  <si>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</si>
  <si>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</si>
  <si>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</si>
  <si>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</si>
  <si>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</si>
  <si>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</si>
  <si>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</si>
  <si>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</si>
  <si>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</si>
  <si>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</si>
  <si>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Laos</t>
  </si>
  <si>
    <t>Latvia</t>
  </si>
  <si>
    <t>Lebanon</t>
  </si>
  <si>
    <t>LeewardIslands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</si>
  <si>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</si>
  <si>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</si>
  <si>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</si>
  <si>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</si>
  <si>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</si>
  <si>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</si>
  <si>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</si>
  <si>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</si>
  <si>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</si>
  <si>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</si>
  <si>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</si>
  <si>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</si>
  <si>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</si>
  <si>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</si>
  <si>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MarshallIslands</t>
  </si>
  <si>
    <t>Martinique</t>
  </si>
  <si>
    <t>Mauritania</t>
  </si>
  <si>
    <t>Mauritius</t>
  </si>
  <si>
    <t>MayotteIsland</t>
  </si>
  <si>
    <t>Mexico</t>
  </si>
  <si>
    <t>Micronesia</t>
  </si>
  <si>
    <t>Moldavia</t>
  </si>
  <si>
    <t>NetherlandsAntilles</t>
  </si>
  <si>
    <t>NewCaledonia</t>
  </si>
  <si>
    <t>NewZealand</t>
  </si>
  <si>
    <t>Nicaragua</t>
  </si>
  <si>
    <t>NigerRepublic</t>
  </si>
  <si>
    <t>Nigeria</t>
  </si>
  <si>
    <t>Niue</t>
  </si>
  <si>
    <t>NorfolkIsland</t>
  </si>
  <si>
    <t>NorthKorea</t>
  </si>
  <si>
    <t>Norway</t>
  </si>
  <si>
    <t>Oman</t>
  </si>
  <si>
    <t>Pakistan</t>
  </si>
  <si>
    <t>Palau</t>
  </si>
  <si>
    <t>Panama</t>
  </si>
  <si>
    <t>PapuaNewGuinea</t>
  </si>
  <si>
    <t>Paraguay</t>
  </si>
  <si>
    <t>Peru</t>
  </si>
  <si>
    <t>Philippines</t>
  </si>
  <si>
    <t>Poland</t>
  </si>
  <si>
    <t>Portugal</t>
  </si>
  <si>
    <t>Qatar</t>
  </si>
  <si>
    <t>ReunionIslands</t>
  </si>
  <si>
    <t>Romania</t>
  </si>
  <si>
    <t>Rwanda</t>
  </si>
  <si>
    <t>SaintHelena</t>
  </si>
  <si>
    <t>SaintKittsNevis</t>
  </si>
  <si>
    <t>SaintLucia</t>
  </si>
  <si>
    <t>SaintMaartenSaintMartin</t>
  </si>
  <si>
    <t>SaintPierreMiquelon</t>
  </si>
  <si>
    <t>SaintVincentGrenadines</t>
  </si>
  <si>
    <t>Saipan</t>
  </si>
  <si>
    <t>SanMarino</t>
  </si>
  <si>
    <t>SaoTomePrincipe</t>
  </si>
  <si>
    <t>SaudiArabia</t>
  </si>
  <si>
    <t>Scotland</t>
  </si>
  <si>
    <t>Senegal</t>
  </si>
  <si>
    <t>SerbiaMontenegro</t>
  </si>
  <si>
    <t>Sychelles</t>
  </si>
  <si>
    <t>SierraLeone</t>
  </si>
  <si>
    <t>Singapore</t>
  </si>
  <si>
    <t>SlovakRepublic</t>
  </si>
  <si>
    <t>Slovenia</t>
  </si>
  <si>
    <t>SolomonIslands</t>
  </si>
  <si>
    <t>Somalia</t>
  </si>
  <si>
    <t>SouthAfrica</t>
  </si>
  <si>
    <t>SouthKorea</t>
  </si>
  <si>
    <t>Spain</t>
  </si>
  <si>
    <t>SriLanka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</si>
  <si>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</si>
  <si>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</si>
  <si>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</si>
  <si>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</si>
  <si>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</si>
  <si>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</si>
  <si>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</si>
  <si>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</si>
  <si>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Tajkistan</t>
  </si>
  <si>
    <t>Tanzania</t>
  </si>
  <si>
    <t>Thailand</t>
  </si>
  <si>
    <t>Togo</t>
  </si>
  <si>
    <t>TongaIslands</t>
  </si>
  <si>
    <t>TrinidadTobago</t>
  </si>
  <si>
    <t>Tunisia</t>
  </si>
  <si>
    <t>Turkey</t>
  </si>
  <si>
    <t>TurksCaicoIslands</t>
  </si>
  <si>
    <t>Tuvalu</t>
  </si>
  <si>
    <t>Uganda</t>
  </si>
  <si>
    <t>Ukraine</t>
  </si>
  <si>
    <t>UnitedArabEmirates</t>
  </si>
  <si>
    <t>UnitedKingdom</t>
  </si>
  <si>
    <t>Uruguay</t>
  </si>
  <si>
    <t>Uzbekistan</t>
  </si>
  <si>
    <t>Vanuatu</t>
  </si>
  <si>
    <t>Venezuela</t>
  </si>
  <si>
    <t>Vietnam</t>
  </si>
  <si>
    <t>Wales</t>
  </si>
  <si>
    <t>WesternSamoa</t>
  </si>
  <si>
    <t>Yemen</t>
  </si>
  <si>
    <t>Yugoslavia</t>
  </si>
  <si>
    <t>Zaire</t>
  </si>
  <si>
    <t>Zambia</t>
  </si>
  <si>
    <t>Zimbabwe</t>
  </si>
  <si>
    <t xml:space="preserve">DECK </t>
  </si>
  <si>
    <t xml:space="preserve">Captain </t>
  </si>
  <si>
    <t xml:space="preserve">ENGINEERING </t>
  </si>
  <si>
    <t xml:space="preserve">Plumber </t>
  </si>
  <si>
    <t xml:space="preserve">Tankerman </t>
  </si>
  <si>
    <t xml:space="preserve">Wiper </t>
  </si>
  <si>
    <t xml:space="preserve">FISHING </t>
  </si>
  <si>
    <t xml:space="preserve">QMed </t>
  </si>
  <si>
    <t xml:space="preserve">OFFSHORE </t>
  </si>
  <si>
    <t xml:space="preserve">Driller </t>
  </si>
  <si>
    <t xml:space="preserve">Roustabouts </t>
  </si>
  <si>
    <t xml:space="preserve">Toolpusher </t>
  </si>
  <si>
    <t xml:space="preserve">Diver </t>
  </si>
  <si>
    <t xml:space="preserve">MEDICAL </t>
  </si>
  <si>
    <t xml:space="preserve">HOUSEKEEPING </t>
  </si>
  <si>
    <t xml:space="preserve">GALLEY </t>
  </si>
  <si>
    <t>Registration Form</t>
  </si>
  <si>
    <t>1. Personal Details</t>
  </si>
  <si>
    <t>Position applied for:</t>
  </si>
  <si>
    <t>Surname:</t>
  </si>
  <si>
    <t>First Name:</t>
  </si>
  <si>
    <t>D.O.B.:</t>
  </si>
  <si>
    <t>Permanent Address:</t>
  </si>
  <si>
    <t>Country:</t>
  </si>
  <si>
    <t>City:</t>
  </si>
  <si>
    <t>Street, House - Flat:</t>
  </si>
  <si>
    <t>Phone:</t>
  </si>
  <si>
    <t>Sex:</t>
  </si>
  <si>
    <t>Nationality:</t>
  </si>
  <si>
    <t>Marital Status:</t>
  </si>
  <si>
    <t>Religion:</t>
  </si>
  <si>
    <t>Education:</t>
  </si>
  <si>
    <t>2. Additional Information:</t>
  </si>
  <si>
    <t>Weight:</t>
  </si>
  <si>
    <t>Height:</t>
  </si>
  <si>
    <t>Shoes Size:</t>
  </si>
  <si>
    <t>Clothes Size:</t>
  </si>
  <si>
    <t>Head Size:</t>
  </si>
  <si>
    <t>Eyes color:</t>
  </si>
  <si>
    <t>Hair's color:</t>
  </si>
  <si>
    <t>Skin's color:</t>
  </si>
  <si>
    <t>ISF English Test (%)</t>
  </si>
  <si>
    <t>(If not passed, fill your Professional English Knowledge at %)</t>
  </si>
  <si>
    <t>Фамилия:</t>
  </si>
  <si>
    <t>Имя:</t>
  </si>
  <si>
    <t>Отчество:</t>
  </si>
  <si>
    <t>Адрес прописки:</t>
  </si>
  <si>
    <t>Город:</t>
  </si>
  <si>
    <t>Улица, дом - кв.:</t>
  </si>
  <si>
    <t>Лицо, рекомендующее Вас:</t>
  </si>
  <si>
    <t>Ф.И.О.:</t>
  </si>
  <si>
    <t>Агенство (название, адрес):</t>
  </si>
  <si>
    <t>Телефон (факс):</t>
  </si>
  <si>
    <t>4. Relatives (Mother, Father, Children ander 18 years).</t>
  </si>
  <si>
    <t xml:space="preserve"> Заполнить сведения о родствениках на русском и английском языках Наследника (Next of keen) выбрать из списка родственников.</t>
  </si>
  <si>
    <t>Surname</t>
  </si>
  <si>
    <t>First Name</t>
  </si>
  <si>
    <t>DOB</t>
  </si>
  <si>
    <t>Place of Birth</t>
  </si>
  <si>
    <t>Country</t>
  </si>
  <si>
    <t>City</t>
  </si>
  <si>
    <t>Street</t>
  </si>
  <si>
    <t>Phone No</t>
  </si>
  <si>
    <t>Post Code</t>
  </si>
  <si>
    <t>Place of work</t>
  </si>
  <si>
    <t>Rank</t>
  </si>
  <si>
    <t>Ребенок:</t>
  </si>
  <si>
    <t>Брат:</t>
  </si>
  <si>
    <t>Сестра:</t>
  </si>
  <si>
    <t>Next of Keen:</t>
  </si>
  <si>
    <t>Mother maiden name:</t>
  </si>
  <si>
    <t>Девичья фамилия матери:</t>
  </si>
  <si>
    <t>5. Passport Detailes</t>
  </si>
  <si>
    <t>For Russians Only</t>
  </si>
  <si>
    <t>Civil Passport:</t>
  </si>
  <si>
    <t>Seaman's Passport:</t>
  </si>
  <si>
    <t>Tourist's Passport:</t>
  </si>
  <si>
    <t>Seaman's Book:</t>
  </si>
  <si>
    <t>6. Conventional Certificates</t>
  </si>
  <si>
    <t>Licence to applied rank:</t>
  </si>
  <si>
    <t>Additional professional Licence 1:</t>
  </si>
  <si>
    <t>Number</t>
  </si>
  <si>
    <t>Issue Date</t>
  </si>
  <si>
    <t>Issue Place</t>
  </si>
  <si>
    <t>Valid Untill</t>
  </si>
  <si>
    <t>Название документа (for Russians)</t>
  </si>
  <si>
    <t>Багамское подтверждение к рабочему диплому</t>
  </si>
  <si>
    <t>Либерийское подтверждение к рабочему диплому</t>
  </si>
  <si>
    <t>Панамское подтверждение к рабочему диплому</t>
  </si>
  <si>
    <t>Норвежское подтверждение к рабочему диплому</t>
  </si>
  <si>
    <t>Кипрское подтверждение к рабочему диплому</t>
  </si>
  <si>
    <t>Английское обозначение</t>
  </si>
  <si>
    <t>Issue Flag</t>
  </si>
  <si>
    <t>Борьба с пожаром по расширенной программе</t>
  </si>
  <si>
    <t>Сертификат специалист по спасательным шлюпкам, плотам и дежурным шлюпкам</t>
  </si>
  <si>
    <t>Сертификат по перевозке опасных веществ</t>
  </si>
  <si>
    <t>Сертификат по прохождению начальной подготовки</t>
  </si>
  <si>
    <t>Сертификат о прохождении тренажера РЛТ</t>
  </si>
  <si>
    <t>Сертификат о прохождении тренажера САРП</t>
  </si>
  <si>
    <t>Сертификат о сдаче теста по английскому языку (ISF-тест)</t>
  </si>
  <si>
    <t>Вакцинация от Желтой Лихорадки</t>
  </si>
  <si>
    <t>Вакцинация от Холеры</t>
  </si>
  <si>
    <t>Тест на наличие Алкоголя и Наркотиков в крови</t>
  </si>
  <si>
    <t>Книжка по вакцинации</t>
  </si>
  <si>
    <t>Прохождение медицинской комиссии</t>
  </si>
  <si>
    <t>Name of Vessel</t>
  </si>
  <si>
    <t>Vessel Type</t>
  </si>
  <si>
    <t>Flag</t>
  </si>
  <si>
    <t>DWT</t>
  </si>
  <si>
    <t>Engine Type</t>
  </si>
  <si>
    <t>HP</t>
  </si>
  <si>
    <t>Position/Rank</t>
  </si>
  <si>
    <t>Ship Owner/Manager</t>
  </si>
  <si>
    <t>Поля, помеченные этим цветом, обязательны к заполнению</t>
  </si>
  <si>
    <t>Russia</t>
  </si>
  <si>
    <t>Male</t>
  </si>
  <si>
    <t>Single</t>
  </si>
  <si>
    <t>Atheist</t>
  </si>
  <si>
    <t>kg</t>
  </si>
  <si>
    <t>m</t>
  </si>
  <si>
    <t>Grey</t>
  </si>
  <si>
    <t>Dark</t>
  </si>
  <si>
    <t>White</t>
  </si>
  <si>
    <t>Место рождения:</t>
  </si>
  <si>
    <t xml:space="preserve"> (по паспорту моряка)</t>
  </si>
  <si>
    <t>Рабочий диплом - место</t>
  </si>
  <si>
    <t xml:space="preserve"> и дата выдачи:</t>
  </si>
  <si>
    <t xml:space="preserve">Должность и место работы </t>
  </si>
  <si>
    <t>в настоящее время:</t>
  </si>
  <si>
    <t xml:space="preserve">Образование, когда и какое </t>
  </si>
  <si>
    <t>учебное заведение закончено:</t>
  </si>
  <si>
    <t>Капитан</t>
  </si>
  <si>
    <t>Permanent Address</t>
  </si>
  <si>
    <t>Мать:</t>
  </si>
  <si>
    <t>Отец:</t>
  </si>
  <si>
    <t>Series</t>
  </si>
  <si>
    <t>Nationality</t>
  </si>
  <si>
    <t>Кем Выдан</t>
  </si>
  <si>
    <t>English Language Knowledge as per STCW</t>
  </si>
  <si>
    <t>Yellow Fever Vaccination</t>
  </si>
  <si>
    <t>Cholera Vaccination</t>
  </si>
  <si>
    <t>Drug and Alcohol Test</t>
  </si>
  <si>
    <t>Vaccination Book</t>
  </si>
  <si>
    <t>Medical Certificate</t>
  </si>
  <si>
    <t>National Endorsement:</t>
  </si>
  <si>
    <t>Fast Rescue Boats. (STCW A-VI/2-2).</t>
  </si>
  <si>
    <t>Chem. Tanker Advanced (STCW A-V/1 (16-21))</t>
  </si>
  <si>
    <t>Gas Tanker Advanced (STCW A-V/1 (23-24))</t>
  </si>
  <si>
    <t>E-mail:</t>
  </si>
  <si>
    <t>Female</t>
  </si>
  <si>
    <t>Married</t>
  </si>
  <si>
    <t>Divorced</t>
  </si>
  <si>
    <t>Separated</t>
  </si>
  <si>
    <t>Widowed</t>
  </si>
  <si>
    <t>Buddist</t>
  </si>
  <si>
    <t>Christian</t>
  </si>
  <si>
    <t>Jew</t>
  </si>
  <si>
    <t>Moslem</t>
  </si>
  <si>
    <t>Orthodox</t>
  </si>
  <si>
    <t>Blue</t>
  </si>
  <si>
    <t>Brown</t>
  </si>
  <si>
    <t>Green</t>
  </si>
  <si>
    <t>Blond</t>
  </si>
  <si>
    <t>Fair</t>
  </si>
  <si>
    <t>Red</t>
  </si>
  <si>
    <t>Black</t>
  </si>
  <si>
    <t>Yellow</t>
  </si>
  <si>
    <t>Лицо Вас рекомендующее</t>
  </si>
  <si>
    <t>Цвет кожи</t>
  </si>
  <si>
    <t>Цвет волос</t>
  </si>
  <si>
    <t>Цвет глаз</t>
  </si>
  <si>
    <t>Пол</t>
  </si>
  <si>
    <t>Семейное положение</t>
  </si>
  <si>
    <t>Религия</t>
  </si>
  <si>
    <t>Страна</t>
  </si>
  <si>
    <t>Должность</t>
  </si>
  <si>
    <t>Старший механик</t>
  </si>
  <si>
    <t>Капитан наставник</t>
  </si>
  <si>
    <t>Механик наставник</t>
  </si>
  <si>
    <t>Морское агенство</t>
  </si>
  <si>
    <t>Суперинтендант</t>
  </si>
  <si>
    <t>Технический менеджер</t>
  </si>
  <si>
    <t>Фрахтователь</t>
  </si>
  <si>
    <t>Наследник</t>
  </si>
  <si>
    <t xml:space="preserve"> Sister: </t>
  </si>
  <si>
    <t xml:space="preserve"> Brother: </t>
  </si>
  <si>
    <t xml:space="preserve"> Child: </t>
  </si>
  <si>
    <t xml:space="preserve"> Father: </t>
  </si>
  <si>
    <t xml:space="preserve"> Mother: </t>
  </si>
  <si>
    <t>Диплом</t>
  </si>
  <si>
    <t>Mobil Tlf :</t>
  </si>
  <si>
    <t>Education 2:</t>
  </si>
  <si>
    <t>Телефон (мобилн.):</t>
  </si>
  <si>
    <t>Citizenship:</t>
  </si>
  <si>
    <t>Additional Notes.</t>
  </si>
  <si>
    <t>Foto:</t>
  </si>
  <si>
    <t>Ваше фото:</t>
  </si>
  <si>
    <t>Сертификат о прохождении специализированной подготовки для работы на танкерах, для капитанов, старших помощников капитана, старших механиков, вторых механиков и других лиц, несущих непосредственную ответственность за погрузку, выгрузку и меры предосторожности во время перевозки или обработки груза, с указанием занимаемой должности и типа танкера нефтевоз.</t>
  </si>
  <si>
    <t>Сертификат о прохождении специализированной подготовки для работы на танкерах, для капитанов, старших помощников капитана, старших механиков, вторых механиков и других лиц, несущих непосредственную ответственность за погрузку, выгрузку и меры предосторожности во время перевозки или обработки груза, с указанием занимаемой должности и типа танкера химовоз.</t>
  </si>
  <si>
    <t xml:space="preserve">Сертификат о прохождении специализированной подготовки для работы на танкерах, для капитанов, старших помощников капитана, старших механиков, вторых механиков и других лиц, несущих непосредственную ответственность за погрузку, выгрузку и меры предосторожности во время перевозки или обработки груза, с указанием занимаемой должности и типа танкера газовоз. </t>
  </si>
  <si>
    <t>Сертификат о прохождении курсов управления неорганизованными массами людей, с указанием пунктов правил, в соответствии с которыми пройдена подготовка.</t>
  </si>
  <si>
    <t>Ship Owner/Manager E-mail</t>
  </si>
  <si>
    <t>Укажите здесь дополнительную информацию о своих сертификатах, или о себе, которая не вошла в вышеуказанные поля.</t>
  </si>
  <si>
    <t xml:space="preserve"> USD</t>
  </si>
  <si>
    <t>По возможности приложить отсканированное фото и отправить по электронной почте.</t>
  </si>
  <si>
    <t>Заполненную анкету направлять только по адресу hr@transflot.sp.ru</t>
  </si>
  <si>
    <t>TRANSFLOT LTD</t>
  </si>
  <si>
    <t>Проверка документов на легитимность на сайте https://diplom.marinet.ru/PersonalAccount/ проведена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</si>
</sst>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name val="Arial Cyr"/>
      <charset val="204"/>
    </font>
    <font>
      <b/>
      <sz val="14"/>
      <name val="Arial Cyr"/>
      <charset val="204"/>
    </font>
    <font>
      <sz val="14"/>
      <color indexed="12"/>
      <name val="Arial Cyr"/>
      <charset val="204"/>
    </font>
    <font>
      <sz val="10"/>
      <color indexed="12"/>
      <name val="Arial Cyr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 Cyr"/>
      <charset val="204"/>
    </font>
    <font>
      <sz val="9"/>
      <color indexed="12"/>
      <name val="Arial"/>
      <family val="2"/>
    </font>
    <font>
      <b/>
      <sz val="10"/>
      <name val="Arial Cyr"/>
      <charset val="204"/>
    </font>
    <font>
      <b/>
      <i/>
      <sz val="20"/>
      <name val="Times New Roman"/>
      <family val="1"/>
      <charset val="204"/>
    </font>
    <font>
      <sz val="12"/>
      <name val="Arial Cyr"/>
      <charset val="204"/>
    </font>
    <font>
      <sz val="12"/>
      <color indexed="12"/>
      <name val="Arial"/>
      <family val="2"/>
    </font>
    <font>
      <sz val="8"/>
      <name val="Arial Cyr"/>
      <charset val="204"/>
    </font>
    <font>
      <u/>
      <sz val="10"/>
      <name val="Arial Cyr"/>
      <charset val="204"/>
    </font>
    <font>
      <sz val="10"/>
      <color indexed="22"/>
      <name val="Arial"/>
      <family val="2"/>
    </font>
    <font>
      <sz val="10"/>
      <color indexed="22"/>
      <name val="Arial Cyr"/>
      <charset val="204"/>
    </font>
    <font>
      <sz val="10"/>
      <name val="Arial"/>
      <family val="2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color indexed="58"/>
      <name val="Arial Cyr"/>
      <charset val="204"/>
    </font>
    <font>
      <sz val="9"/>
      <name val="Arial"/>
      <family val="2"/>
    </font>
    <font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9"/>
      <color indexed="22"/>
      <name val="Arial"/>
      <family val="2"/>
    </font>
    <font>
      <b/>
      <sz val="10"/>
      <color indexed="22"/>
      <name val="Arial"/>
      <family val="2"/>
      <charset val="204"/>
    </font>
    <font>
      <b/>
      <sz val="10"/>
      <color indexed="22"/>
      <name val="Arial"/>
      <family val="2"/>
    </font>
    <font>
      <u/>
      <sz val="10"/>
      <name val="Arial"/>
      <family val="2"/>
    </font>
    <font>
      <b/>
      <u/>
      <sz val="11"/>
      <color indexed="12"/>
      <name val="Arial Cyr"/>
      <charset val="204"/>
    </font>
    <font>
      <b/>
      <i/>
      <sz val="20"/>
      <color rgb="FFFF0000"/>
      <name val="Arial"/>
      <family val="2"/>
      <charset val="204"/>
    </font>
    <font>
      <b/>
      <sz val="12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97">
    <border>
      <left/>
      <right/>
      <top/>
      <bottom/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medium">
        <color indexed="23"/>
      </top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double">
        <color indexed="23"/>
      </right>
      <top/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 style="medium">
        <color indexed="55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double">
        <color indexed="55"/>
      </bottom>
      <diagonal/>
    </border>
    <border>
      <left style="thin">
        <color indexed="21"/>
      </left>
      <right style="thin">
        <color indexed="21"/>
      </right>
      <top style="thin">
        <color indexed="8"/>
      </top>
      <bottom style="double">
        <color indexed="55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medium">
        <color indexed="55"/>
      </bottom>
      <diagonal/>
    </border>
    <border>
      <left style="double">
        <color indexed="62"/>
      </left>
      <right style="double">
        <color indexed="62"/>
      </right>
      <top style="medium">
        <color indexed="55"/>
      </top>
      <bottom style="medium">
        <color indexed="55"/>
      </bottom>
      <diagonal/>
    </border>
    <border>
      <left style="double">
        <color indexed="62"/>
      </left>
      <right style="double">
        <color indexed="62"/>
      </right>
      <top style="medium">
        <color indexed="55"/>
      </top>
      <bottom style="double">
        <color indexed="62"/>
      </bottom>
      <diagonal/>
    </border>
    <border>
      <left style="thin">
        <color indexed="55"/>
      </left>
      <right style="medium">
        <color indexed="55"/>
      </right>
      <top style="double">
        <color indexed="62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371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0" fillId="2" borderId="6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7" xfId="0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4" fillId="2" borderId="8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9" xfId="0" applyFill="1" applyBorder="1" applyProtection="1">
      <protection hidden="1"/>
    </xf>
    <xf numFmtId="0" fontId="1" fillId="2" borderId="9" xfId="0" applyFont="1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4" fillId="2" borderId="11" xfId="0" applyFont="1" applyFill="1" applyBorder="1" applyProtection="1">
      <protection hidden="1"/>
    </xf>
    <xf numFmtId="0" fontId="14" fillId="2" borderId="0" xfId="0" applyFont="1" applyFill="1" applyProtection="1">
      <protection hidden="1"/>
    </xf>
    <xf numFmtId="0" fontId="7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49" fontId="4" fillId="2" borderId="0" xfId="0" applyNumberFormat="1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3" xfId="0" applyFill="1" applyBorder="1" applyAlignment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5" xfId="0" applyFill="1" applyBorder="1" applyProtection="1">
      <protection hidden="1"/>
    </xf>
    <xf numFmtId="49" fontId="0" fillId="2" borderId="0" xfId="0" applyNumberFormat="1" applyFill="1" applyBorder="1" applyAlignment="1" applyProtection="1">
      <alignment horizontal="right"/>
      <protection hidden="1"/>
    </xf>
    <xf numFmtId="49" fontId="0" fillId="2" borderId="4" xfId="0" applyNumberForma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14" fontId="0" fillId="2" borderId="4" xfId="0" applyNumberFormat="1" applyFill="1" applyBorder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19" xfId="0" applyFill="1" applyBorder="1" applyAlignment="1" applyProtection="1">
      <alignment wrapText="1"/>
      <protection hidden="1"/>
    </xf>
    <xf numFmtId="0" fontId="0" fillId="2" borderId="20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21" xfId="0" applyFill="1" applyBorder="1" applyAlignment="1" applyProtection="1">
      <alignment horizontal="left"/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0" fillId="2" borderId="0" xfId="0" applyNumberFormat="1" applyFill="1" applyProtection="1">
      <protection hidden="1"/>
    </xf>
    <xf numFmtId="0" fontId="3" fillId="0" borderId="29" xfId="2" applyNumberFormat="1" applyFont="1" applyFill="1" applyBorder="1" applyAlignment="1">
      <alignment horizontal="right" wrapText="1"/>
    </xf>
    <xf numFmtId="0" fontId="3" fillId="0" borderId="29" xfId="2" applyNumberFormat="1" applyFont="1" applyFill="1" applyBorder="1" applyAlignment="1">
      <alignment wrapText="1"/>
    </xf>
    <xf numFmtId="1" fontId="4" fillId="4" borderId="30" xfId="0" applyNumberFormat="1" applyFont="1" applyFill="1" applyBorder="1" applyAlignment="1" applyProtection="1">
      <alignment horizontal="right"/>
      <protection locked="0" hidden="1"/>
    </xf>
    <xf numFmtId="2" fontId="4" fillId="4" borderId="30" xfId="0" applyNumberFormat="1" applyFont="1" applyFill="1" applyBorder="1" applyAlignment="1" applyProtection="1">
      <alignment horizontal="right"/>
      <protection locked="0" hidden="1"/>
    </xf>
    <xf numFmtId="9" fontId="4" fillId="4" borderId="30" xfId="4" applyFont="1" applyFill="1" applyBorder="1" applyProtection="1">
      <protection locked="0" hidden="1"/>
    </xf>
    <xf numFmtId="49" fontId="4" fillId="4" borderId="30" xfId="0" applyNumberFormat="1" applyFont="1" applyFill="1" applyBorder="1" applyProtection="1">
      <protection locked="0" hidden="1"/>
    </xf>
    <xf numFmtId="49" fontId="4" fillId="4" borderId="30" xfId="0" applyNumberFormat="1" applyFont="1" applyFill="1" applyBorder="1" applyAlignment="1" applyProtection="1">
      <alignment horizontal="left"/>
      <protection locked="0" hidden="1"/>
    </xf>
    <xf numFmtId="49" fontId="4" fillId="3" borderId="31" xfId="0" applyNumberFormat="1" applyFont="1" applyFill="1" applyBorder="1" applyAlignment="1" applyProtection="1">
      <alignment horizontal="left"/>
      <protection locked="0" hidden="1"/>
    </xf>
    <xf numFmtId="49" fontId="11" fillId="3" borderId="32" xfId="0" applyNumberFormat="1" applyFont="1" applyFill="1" applyBorder="1" applyAlignment="1" applyProtection="1">
      <alignment horizontal="left"/>
      <protection locked="0" hidden="1"/>
    </xf>
    <xf numFmtId="14" fontId="4" fillId="3" borderId="32" xfId="0" applyNumberFormat="1" applyFont="1" applyFill="1" applyBorder="1" applyAlignment="1" applyProtection="1">
      <alignment horizontal="left"/>
      <protection locked="0" hidden="1"/>
    </xf>
    <xf numFmtId="14" fontId="4" fillId="4" borderId="33" xfId="0" applyNumberFormat="1" applyFont="1" applyFill="1" applyBorder="1" applyAlignment="1" applyProtection="1">
      <alignment horizontal="left"/>
      <protection locked="0" hidden="1"/>
    </xf>
    <xf numFmtId="49" fontId="4" fillId="3" borderId="30" xfId="0" applyNumberFormat="1" applyFont="1" applyFill="1" applyBorder="1" applyAlignment="1" applyProtection="1">
      <alignment horizontal="left" vertical="center"/>
      <protection locked="0" hidden="1"/>
    </xf>
    <xf numFmtId="14" fontId="4" fillId="3" borderId="30" xfId="0" applyNumberFormat="1" applyFont="1" applyFill="1" applyBorder="1" applyAlignment="1" applyProtection="1">
      <alignment horizontal="center" vertical="center"/>
      <protection locked="0" hidden="1"/>
    </xf>
    <xf numFmtId="49" fontId="4" fillId="3" borderId="32" xfId="0" applyNumberFormat="1" applyFont="1" applyFill="1" applyBorder="1" applyAlignment="1" applyProtection="1">
      <alignment horizontal="center" vertical="center"/>
      <protection locked="0" hidden="1"/>
    </xf>
    <xf numFmtId="14" fontId="4" fillId="3" borderId="32" xfId="0" applyNumberFormat="1" applyFont="1" applyFill="1" applyBorder="1" applyAlignment="1" applyProtection="1">
      <alignment horizontal="center" vertical="center"/>
      <protection locked="0" hidden="1"/>
    </xf>
    <xf numFmtId="49" fontId="4" fillId="4" borderId="32" xfId="0" applyNumberFormat="1" applyFont="1" applyFill="1" applyBorder="1" applyAlignment="1" applyProtection="1">
      <alignment horizontal="left"/>
      <protection locked="0" hidden="1"/>
    </xf>
    <xf numFmtId="14" fontId="4" fillId="3" borderId="31" xfId="0" applyNumberFormat="1" applyFont="1" applyFill="1" applyBorder="1" applyAlignment="1" applyProtection="1">
      <alignment horizontal="center"/>
      <protection locked="0" hidden="1"/>
    </xf>
    <xf numFmtId="14" fontId="4" fillId="3" borderId="32" xfId="0" applyNumberFormat="1" applyFont="1" applyFill="1" applyBorder="1" applyAlignment="1" applyProtection="1">
      <alignment horizontal="center"/>
      <protection locked="0" hidden="1"/>
    </xf>
    <xf numFmtId="49" fontId="4" fillId="3" borderId="32" xfId="0" applyNumberFormat="1" applyFont="1" applyFill="1" applyBorder="1" applyAlignment="1" applyProtection="1">
      <alignment horizontal="left"/>
      <protection locked="0" hidden="1"/>
    </xf>
    <xf numFmtId="14" fontId="4" fillId="4" borderId="31" xfId="0" applyNumberFormat="1" applyFont="1" applyFill="1" applyBorder="1" applyAlignment="1" applyProtection="1">
      <alignment horizontal="center"/>
      <protection locked="0" hidden="1"/>
    </xf>
    <xf numFmtId="14" fontId="4" fillId="4" borderId="32" xfId="0" applyNumberFormat="1" applyFont="1" applyFill="1" applyBorder="1" applyAlignment="1" applyProtection="1">
      <alignment horizontal="center"/>
      <protection locked="0" hidden="1"/>
    </xf>
    <xf numFmtId="0" fontId="0" fillId="2" borderId="0" xfId="0" applyNumberForma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Protection="1">
      <protection hidden="1"/>
    </xf>
    <xf numFmtId="49" fontId="19" fillId="2" borderId="4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Protection="1"/>
    <xf numFmtId="0" fontId="2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Protection="1">
      <protection hidden="1"/>
    </xf>
    <xf numFmtId="49" fontId="20" fillId="2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Protection="1">
      <protection hidden="1"/>
    </xf>
    <xf numFmtId="0" fontId="23" fillId="2" borderId="0" xfId="0" applyFont="1" applyFill="1" applyBorder="1" applyProtection="1"/>
    <xf numFmtId="0" fontId="0" fillId="2" borderId="17" xfId="0" applyFill="1" applyBorder="1" applyProtection="1"/>
    <xf numFmtId="0" fontId="0" fillId="2" borderId="6" xfId="0" applyFill="1" applyBorder="1" applyAlignment="1" applyProtection="1">
      <alignment wrapText="1"/>
    </xf>
    <xf numFmtId="0" fontId="0" fillId="2" borderId="7" xfId="0" applyFill="1" applyBorder="1" applyProtection="1"/>
    <xf numFmtId="0" fontId="0" fillId="2" borderId="34" xfId="0" applyFill="1" applyBorder="1" applyProtection="1"/>
    <xf numFmtId="0" fontId="0" fillId="2" borderId="18" xfId="0" applyFill="1" applyBorder="1" applyProtection="1"/>
    <xf numFmtId="0" fontId="0" fillId="2" borderId="9" xfId="0" applyFill="1" applyBorder="1" applyProtection="1"/>
    <xf numFmtId="0" fontId="0" fillId="2" borderId="35" xfId="0" applyFill="1" applyBorder="1" applyProtection="1"/>
    <xf numFmtId="0" fontId="0" fillId="2" borderId="10" xfId="0" applyFill="1" applyBorder="1" applyProtection="1"/>
    <xf numFmtId="0" fontId="0" fillId="2" borderId="8" xfId="0" applyFill="1" applyBorder="1" applyProtection="1"/>
    <xf numFmtId="0" fontId="1" fillId="2" borderId="5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24" fillId="2" borderId="0" xfId="0" applyNumberFormat="1" applyFont="1" applyFill="1" applyAlignment="1" applyProtection="1">
      <alignment horizontal="center"/>
    </xf>
    <xf numFmtId="0" fontId="24" fillId="2" borderId="0" xfId="0" applyNumberFormat="1" applyFont="1" applyFill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49" fontId="20" fillId="2" borderId="5" xfId="0" applyNumberFormat="1" applyFont="1" applyFill="1" applyBorder="1" applyAlignment="1" applyProtection="1">
      <alignment horizontal="left" vertical="center"/>
      <protection hidden="1"/>
    </xf>
    <xf numFmtId="0" fontId="22" fillId="2" borderId="5" xfId="0" applyFont="1" applyFill="1" applyBorder="1" applyProtection="1">
      <protection hidden="1"/>
    </xf>
    <xf numFmtId="1" fontId="20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2" borderId="36" xfId="0" applyFill="1" applyBorder="1" applyAlignment="1" applyProtection="1">
      <alignment horizontal="left"/>
      <protection hidden="1"/>
    </xf>
    <xf numFmtId="0" fontId="0" fillId="2" borderId="37" xfId="0" applyFill="1" applyBorder="1" applyAlignment="1" applyProtection="1">
      <alignment horizontal="left"/>
      <protection hidden="1"/>
    </xf>
    <xf numFmtId="0" fontId="0" fillId="2" borderId="38" xfId="0" applyFill="1" applyBorder="1" applyAlignment="1" applyProtection="1">
      <alignment horizontal="left"/>
      <protection hidden="1"/>
    </xf>
    <xf numFmtId="0" fontId="0" fillId="2" borderId="39" xfId="0" applyFill="1" applyBorder="1" applyAlignment="1" applyProtection="1">
      <alignment horizontal="left"/>
      <protection hidden="1"/>
    </xf>
    <xf numFmtId="0" fontId="26" fillId="2" borderId="0" xfId="0" applyFont="1" applyFill="1" applyBorder="1" applyProtection="1"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40" xfId="0" applyFill="1" applyBorder="1" applyProtection="1">
      <protection hidden="1"/>
    </xf>
    <xf numFmtId="0" fontId="0" fillId="0" borderId="0" xfId="0" applyNumberFormat="1" applyFill="1" applyProtection="1">
      <protection hidden="1"/>
    </xf>
    <xf numFmtId="0" fontId="3" fillId="5" borderId="41" xfId="2" applyNumberFormat="1" applyFont="1" applyFill="1" applyBorder="1" applyAlignment="1">
      <alignment horizontal="center"/>
    </xf>
    <xf numFmtId="0" fontId="0" fillId="0" borderId="37" xfId="0" applyNumberFormat="1" applyFill="1" applyBorder="1" applyProtection="1">
      <protection hidden="1"/>
    </xf>
    <xf numFmtId="0" fontId="3" fillId="0" borderId="42" xfId="2" applyNumberFormat="1" applyFont="1" applyFill="1" applyBorder="1" applyAlignment="1">
      <alignment horizontal="right" wrapText="1"/>
    </xf>
    <xf numFmtId="0" fontId="0" fillId="0" borderId="0" xfId="0" applyNumberFormat="1"/>
    <xf numFmtId="0" fontId="3" fillId="0" borderId="43" xfId="2" applyNumberFormat="1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9" xfId="0" applyNumberFormat="1" applyFill="1" applyBorder="1" applyProtection="1">
      <protection hidden="1"/>
    </xf>
    <xf numFmtId="0" fontId="0" fillId="2" borderId="7" xfId="0" applyNumberFormat="1" applyFill="1" applyBorder="1" applyProtection="1">
      <protection hidden="1"/>
    </xf>
    <xf numFmtId="0" fontId="0" fillId="2" borderId="44" xfId="0" applyNumberFormat="1" applyFill="1" applyBorder="1" applyProtection="1">
      <protection hidden="1"/>
    </xf>
    <xf numFmtId="0" fontId="0" fillId="2" borderId="10" xfId="0" applyNumberFormat="1" applyFill="1" applyBorder="1" applyProtection="1">
      <protection hidden="1"/>
    </xf>
    <xf numFmtId="49" fontId="0" fillId="2" borderId="7" xfId="0" applyNumberFormat="1" applyFill="1" applyBorder="1" applyProtection="1">
      <protection hidden="1"/>
    </xf>
    <xf numFmtId="49" fontId="0" fillId="2" borderId="9" xfId="0" applyNumberFormat="1" applyFill="1" applyBorder="1" applyProtection="1">
      <protection hidden="1"/>
    </xf>
    <xf numFmtId="49" fontId="0" fillId="2" borderId="10" xfId="0" applyNumberFormat="1" applyFill="1" applyBorder="1" applyProtection="1">
      <protection hidden="1"/>
    </xf>
    <xf numFmtId="0" fontId="21" fillId="2" borderId="37" xfId="0" applyFont="1" applyFill="1" applyBorder="1" applyAlignment="1" applyProtection="1">
      <alignment horizontal="right"/>
      <protection hidden="1"/>
    </xf>
    <xf numFmtId="0" fontId="0" fillId="2" borderId="37" xfId="0" applyFill="1" applyBorder="1" applyProtection="1">
      <protection hidden="1"/>
    </xf>
    <xf numFmtId="14" fontId="4" fillId="3" borderId="45" xfId="0" applyNumberFormat="1" applyFont="1" applyFill="1" applyBorder="1" applyAlignment="1" applyProtection="1">
      <alignment horizontal="center" vertical="center"/>
      <protection locked="0" hidden="1"/>
    </xf>
    <xf numFmtId="0" fontId="27" fillId="2" borderId="0" xfId="0" applyFont="1" applyFill="1" applyBorder="1" applyProtection="1">
      <protection hidden="1"/>
    </xf>
    <xf numFmtId="0" fontId="19" fillId="2" borderId="0" xfId="0" applyNumberFormat="1" applyFont="1" applyFill="1" applyBorder="1" applyProtection="1">
      <protection hidden="1"/>
    </xf>
    <xf numFmtId="0" fontId="28" fillId="2" borderId="0" xfId="0" applyFont="1" applyFill="1" applyAlignment="1" applyProtection="1">
      <alignment horizontal="center"/>
    </xf>
    <xf numFmtId="0" fontId="28" fillId="2" borderId="0" xfId="0" applyNumberFormat="1" applyFont="1" applyFill="1" applyAlignment="1" applyProtection="1">
      <alignment horizontal="center"/>
    </xf>
    <xf numFmtId="0" fontId="28" fillId="2" borderId="0" xfId="0" applyNumberFormat="1" applyFont="1" applyFill="1" applyAlignment="1" applyProtection="1">
      <alignment horizontal="center"/>
      <protection hidden="1"/>
    </xf>
    <xf numFmtId="49" fontId="18" fillId="2" borderId="0" xfId="0" applyNumberFormat="1" applyFont="1" applyFill="1" applyBorder="1" applyAlignment="1" applyProtection="1">
      <alignment horizontal="left" vertical="center"/>
      <protection hidden="1"/>
    </xf>
    <xf numFmtId="49" fontId="28" fillId="2" borderId="0" xfId="0" applyNumberFormat="1" applyFont="1" applyFill="1" applyAlignment="1" applyProtection="1">
      <alignment horizontal="center"/>
      <protection hidden="1"/>
    </xf>
    <xf numFmtId="0" fontId="18" fillId="2" borderId="0" xfId="0" applyNumberFormat="1" applyFont="1" applyFill="1" applyBorder="1" applyAlignment="1" applyProtection="1">
      <alignment horizontal="left" vertical="center"/>
      <protection hidden="1"/>
    </xf>
    <xf numFmtId="0" fontId="2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Alignment="1" applyProtection="1">
      <alignment horizontal="center"/>
    </xf>
    <xf numFmtId="0" fontId="19" fillId="2" borderId="0" xfId="0" applyNumberFormat="1" applyFont="1" applyFill="1" applyBorder="1" applyAlignment="1" applyProtection="1">
      <alignment horizontal="center"/>
      <protection hidden="1"/>
    </xf>
    <xf numFmtId="0" fontId="19" fillId="2" borderId="0" xfId="0" applyNumberFormat="1" applyFont="1" applyFill="1" applyBorder="1" applyAlignment="1" applyProtection="1">
      <alignment horizontal="center"/>
    </xf>
    <xf numFmtId="1" fontId="18" fillId="2" borderId="0" xfId="0" applyNumberFormat="1" applyFont="1" applyFill="1" applyBorder="1" applyAlignment="1" applyProtection="1">
      <alignment horizontal="right" vertical="center"/>
    </xf>
    <xf numFmtId="49" fontId="18" fillId="2" borderId="0" xfId="0" applyNumberFormat="1" applyFont="1" applyFill="1" applyBorder="1" applyAlignment="1" applyProtection="1">
      <alignment horizontal="right" vertical="center"/>
    </xf>
    <xf numFmtId="0" fontId="18" fillId="2" borderId="0" xfId="0" applyNumberFormat="1" applyFont="1" applyFill="1" applyBorder="1" applyAlignment="1" applyProtection="1">
      <alignment horizontal="right" vertical="center"/>
    </xf>
    <xf numFmtId="0" fontId="18" fillId="2" borderId="0" xfId="0" applyNumberFormat="1" applyFont="1" applyFill="1" applyAlignment="1" applyProtection="1"/>
    <xf numFmtId="1" fontId="30" fillId="2" borderId="0" xfId="0" applyNumberFormat="1" applyFont="1" applyFill="1" applyProtection="1"/>
    <xf numFmtId="0" fontId="18" fillId="2" borderId="0" xfId="0" applyFont="1" applyFill="1" applyProtection="1"/>
    <xf numFmtId="0" fontId="19" fillId="2" borderId="0" xfId="0" applyNumberFormat="1" applyFont="1" applyFill="1" applyProtection="1"/>
    <xf numFmtId="0" fontId="19" fillId="2" borderId="0" xfId="0" applyFont="1" applyFill="1" applyProtection="1"/>
    <xf numFmtId="0" fontId="19" fillId="2" borderId="4" xfId="0" applyFont="1" applyFill="1" applyBorder="1" applyProtection="1">
      <protection hidden="1"/>
    </xf>
    <xf numFmtId="0" fontId="29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protection hidden="1"/>
    </xf>
    <xf numFmtId="49" fontId="4" fillId="0" borderId="32" xfId="0" applyNumberFormat="1" applyFont="1" applyFill="1" applyBorder="1" applyAlignment="1" applyProtection="1">
      <alignment horizontal="left"/>
      <protection locked="0" hidden="1"/>
    </xf>
    <xf numFmtId="14" fontId="4" fillId="4" borderId="46" xfId="0" applyNumberFormat="1" applyFont="1" applyFill="1" applyBorder="1" applyAlignment="1" applyProtection="1">
      <alignment horizontal="center"/>
      <protection locked="0" hidden="1"/>
    </xf>
    <xf numFmtId="14" fontId="4" fillId="4" borderId="47" xfId="0" applyNumberFormat="1" applyFont="1" applyFill="1" applyBorder="1" applyAlignment="1" applyProtection="1">
      <alignment horizontal="center"/>
      <protection locked="0" hidden="1"/>
    </xf>
    <xf numFmtId="49" fontId="4" fillId="4" borderId="47" xfId="0" applyNumberFormat="1" applyFont="1" applyFill="1" applyBorder="1" applyAlignment="1" applyProtection="1">
      <alignment horizontal="left"/>
      <protection locked="0" hidden="1"/>
    </xf>
    <xf numFmtId="49" fontId="4" fillId="0" borderId="47" xfId="0" applyNumberFormat="1" applyFont="1" applyFill="1" applyBorder="1" applyAlignment="1" applyProtection="1">
      <alignment horizontal="left"/>
      <protection locked="0" hidden="1"/>
    </xf>
    <xf numFmtId="0" fontId="0" fillId="0" borderId="0" xfId="0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0" fillId="0" borderId="10" xfId="0" applyFill="1" applyBorder="1" applyProtection="1">
      <protection hidden="1"/>
    </xf>
    <xf numFmtId="14" fontId="3" fillId="0" borderId="29" xfId="2" applyNumberFormat="1" applyFont="1" applyFill="1" applyBorder="1" applyAlignment="1">
      <alignment horizontal="right" wrapText="1"/>
    </xf>
    <xf numFmtId="14" fontId="3" fillId="0" borderId="29" xfId="2" applyNumberFormat="1" applyFont="1" applyFill="1" applyBorder="1" applyAlignment="1">
      <alignment wrapText="1"/>
    </xf>
    <xf numFmtId="2" fontId="3" fillId="0" borderId="29" xfId="2" applyNumberFormat="1" applyFont="1" applyFill="1" applyBorder="1" applyAlignment="1">
      <alignment wrapText="1"/>
    </xf>
    <xf numFmtId="49" fontId="3" fillId="0" borderId="29" xfId="2" applyNumberFormat="1" applyFont="1" applyFill="1" applyBorder="1" applyAlignment="1">
      <alignment wrapText="1"/>
    </xf>
    <xf numFmtId="14" fontId="4" fillId="3" borderId="33" xfId="0" applyNumberFormat="1" applyFont="1" applyFill="1" applyBorder="1" applyAlignment="1" applyProtection="1">
      <alignment horizontal="center" vertical="center"/>
      <protection locked="0" hidden="1"/>
    </xf>
    <xf numFmtId="49" fontId="4" fillId="3" borderId="30" xfId="0" applyNumberFormat="1" applyFont="1" applyFill="1" applyBorder="1" applyAlignment="1" applyProtection="1">
      <alignment horizontal="left" vertical="top" wrapText="1"/>
      <protection locked="0" hidden="1"/>
    </xf>
    <xf numFmtId="49" fontId="4" fillId="4" borderId="48" xfId="0" applyNumberFormat="1" applyFont="1" applyFill="1" applyBorder="1" applyAlignment="1" applyProtection="1">
      <alignment vertical="center"/>
      <protection locked="0" hidden="1"/>
    </xf>
    <xf numFmtId="49" fontId="4" fillId="4" borderId="49" xfId="0" applyNumberFormat="1" applyFont="1" applyFill="1" applyBorder="1" applyAlignment="1" applyProtection="1">
      <alignment vertical="center"/>
      <protection locked="0" hidden="1"/>
    </xf>
    <xf numFmtId="0" fontId="12" fillId="2" borderId="50" xfId="0" applyFont="1" applyFill="1" applyBorder="1" applyAlignment="1" applyProtection="1">
      <alignment vertical="center"/>
      <protection hidden="1"/>
    </xf>
    <xf numFmtId="14" fontId="4" fillId="3" borderId="51" xfId="0" applyNumberFormat="1" applyFont="1" applyFill="1" applyBorder="1" applyAlignment="1" applyProtection="1">
      <alignment vertical="center"/>
      <protection locked="0" hidden="1"/>
    </xf>
    <xf numFmtId="14" fontId="4" fillId="3" borderId="52" xfId="0" applyNumberFormat="1" applyFont="1" applyFill="1" applyBorder="1" applyAlignment="1" applyProtection="1">
      <alignment vertical="center"/>
      <protection locked="0" hidden="1"/>
    </xf>
    <xf numFmtId="49" fontId="4" fillId="4" borderId="53" xfId="0" applyNumberFormat="1" applyFont="1" applyFill="1" applyBorder="1" applyAlignment="1" applyProtection="1">
      <alignment vertical="center"/>
      <protection locked="0" hidden="1"/>
    </xf>
    <xf numFmtId="49" fontId="4" fillId="4" borderId="54" xfId="0" applyNumberFormat="1" applyFont="1" applyFill="1" applyBorder="1" applyAlignment="1" applyProtection="1">
      <alignment vertical="center"/>
      <protection locked="0" hidden="1"/>
    </xf>
    <xf numFmtId="49" fontId="4" fillId="4" borderId="55" xfId="0" applyNumberFormat="1" applyFont="1" applyFill="1" applyBorder="1" applyAlignment="1" applyProtection="1">
      <alignment vertical="center"/>
      <protection locked="0" hidden="1"/>
    </xf>
    <xf numFmtId="0" fontId="0" fillId="2" borderId="56" xfId="0" applyFill="1" applyBorder="1" applyAlignment="1" applyProtection="1">
      <protection hidden="1"/>
    </xf>
    <xf numFmtId="0" fontId="0" fillId="2" borderId="57" xfId="0" applyFill="1" applyBorder="1" applyAlignment="1" applyProtection="1">
      <protection hidden="1"/>
    </xf>
    <xf numFmtId="49" fontId="3" fillId="0" borderId="29" xfId="2" applyNumberFormat="1" applyFont="1" applyFill="1" applyBorder="1" applyAlignment="1" applyProtection="1">
      <alignment wrapText="1"/>
      <protection hidden="1"/>
    </xf>
    <xf numFmtId="0" fontId="0" fillId="7" borderId="0" xfId="0" applyFill="1" applyBorder="1" applyProtection="1">
      <protection hidden="1"/>
    </xf>
    <xf numFmtId="0" fontId="17" fillId="7" borderId="0" xfId="0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0" fillId="9" borderId="0" xfId="0" applyFill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3" fillId="0" borderId="0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wrapText="1"/>
    </xf>
    <xf numFmtId="14" fontId="3" fillId="0" borderId="0" xfId="2" applyNumberFormat="1" applyFont="1" applyFill="1" applyBorder="1" applyAlignment="1">
      <alignment horizontal="right" wrapText="1"/>
    </xf>
    <xf numFmtId="14" fontId="3" fillId="0" borderId="0" xfId="2" applyNumberFormat="1" applyFont="1" applyFill="1" applyBorder="1" applyAlignment="1">
      <alignment wrapText="1"/>
    </xf>
    <xf numFmtId="2" fontId="3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 applyProtection="1">
      <alignment wrapText="1"/>
      <protection hidden="1"/>
    </xf>
    <xf numFmtId="49" fontId="4" fillId="3" borderId="12" xfId="0" applyNumberFormat="1" applyFont="1" applyFill="1" applyBorder="1" applyAlignment="1" applyProtection="1">
      <alignment horizontal="left" vertical="top" wrapText="1"/>
      <protection locked="0" hidden="1"/>
    </xf>
    <xf numFmtId="49" fontId="4" fillId="3" borderId="14" xfId="0" applyNumberFormat="1" applyFont="1" applyFill="1" applyBorder="1" applyAlignment="1" applyProtection="1">
      <alignment horizontal="left" vertical="top" wrapText="1"/>
      <protection locked="0" hidden="1"/>
    </xf>
    <xf numFmtId="0" fontId="0" fillId="2" borderId="16" xfId="0" applyFill="1" applyBorder="1" applyAlignment="1" applyProtection="1">
      <alignment horizontal="center" vertical="center"/>
      <protection hidden="1"/>
    </xf>
    <xf numFmtId="49" fontId="4" fillId="4" borderId="58" xfId="0" applyNumberFormat="1" applyFont="1" applyFill="1" applyBorder="1" applyAlignment="1" applyProtection="1">
      <alignment horizontal="center"/>
      <protection locked="0" hidden="1"/>
    </xf>
    <xf numFmtId="49" fontId="4" fillId="4" borderId="59" xfId="0" applyNumberFormat="1" applyFont="1" applyFill="1" applyBorder="1" applyAlignment="1" applyProtection="1">
      <alignment horizontal="center"/>
      <protection locked="0" hidden="1"/>
    </xf>
    <xf numFmtId="49" fontId="2" fillId="4" borderId="60" xfId="1" applyNumberFormat="1" applyFont="1" applyFill="1" applyBorder="1" applyAlignment="1" applyProtection="1">
      <alignment horizontal="center"/>
      <protection locked="0" hidden="1"/>
    </xf>
    <xf numFmtId="49" fontId="2" fillId="4" borderId="75" xfId="1" applyNumberFormat="1" applyFont="1" applyFill="1" applyBorder="1" applyAlignment="1" applyProtection="1">
      <alignment horizontal="center"/>
      <protection locked="0" hidden="1"/>
    </xf>
    <xf numFmtId="49" fontId="2" fillId="4" borderId="76" xfId="1" applyNumberFormat="1" applyFont="1" applyFill="1" applyBorder="1" applyAlignment="1" applyProtection="1">
      <alignment horizontal="center"/>
      <protection locked="0" hidden="1"/>
    </xf>
    <xf numFmtId="49" fontId="2" fillId="4" borderId="47" xfId="1" applyNumberFormat="1" applyFont="1" applyFill="1" applyBorder="1" applyAlignment="1" applyProtection="1">
      <alignment horizontal="center"/>
      <protection locked="0" hidden="1"/>
    </xf>
    <xf numFmtId="49" fontId="2" fillId="4" borderId="95" xfId="1" applyNumberFormat="1" applyFont="1" applyFill="1" applyBorder="1" applyAlignment="1" applyProtection="1">
      <alignment horizontal="center"/>
      <protection locked="0" hidden="1"/>
    </xf>
    <xf numFmtId="49" fontId="31" fillId="3" borderId="60" xfId="1" applyNumberFormat="1" applyFont="1" applyFill="1" applyBorder="1" applyAlignment="1" applyProtection="1">
      <alignment horizontal="center"/>
      <protection locked="0" hidden="1"/>
    </xf>
    <xf numFmtId="49" fontId="31" fillId="3" borderId="75" xfId="1" applyNumberFormat="1" applyFont="1" applyFill="1" applyBorder="1" applyAlignment="1" applyProtection="1">
      <alignment horizontal="center"/>
      <protection locked="0" hidden="1"/>
    </xf>
    <xf numFmtId="49" fontId="31" fillId="3" borderId="76" xfId="1" applyNumberFormat="1" applyFont="1" applyFill="1" applyBorder="1" applyAlignment="1" applyProtection="1">
      <alignment horizontal="center"/>
      <protection locked="0" hidden="1"/>
    </xf>
    <xf numFmtId="0" fontId="12" fillId="2" borderId="86" xfId="0" applyFont="1" applyFill="1" applyBorder="1" applyAlignment="1" applyProtection="1">
      <alignment horizontal="center" vertical="center" wrapText="1"/>
      <protection hidden="1"/>
    </xf>
    <xf numFmtId="0" fontId="12" fillId="2" borderId="96" xfId="0" applyFont="1" applyFill="1" applyBorder="1" applyAlignment="1" applyProtection="1">
      <alignment horizontal="center" vertical="center" wrapText="1"/>
      <protection hidden="1"/>
    </xf>
    <xf numFmtId="0" fontId="12" fillId="2" borderId="87" xfId="0" applyFont="1" applyFill="1" applyBorder="1" applyAlignment="1" applyProtection="1">
      <alignment horizontal="center" vertical="center" wrapText="1"/>
      <protection hidden="1"/>
    </xf>
    <xf numFmtId="49" fontId="4" fillId="4" borderId="33" xfId="0" applyNumberFormat="1" applyFont="1" applyFill="1" applyBorder="1" applyAlignment="1" applyProtection="1">
      <alignment horizontal="left" vertical="center" wrapText="1"/>
      <protection locked="0" hidden="1"/>
    </xf>
    <xf numFmtId="49" fontId="4" fillId="4" borderId="63" xfId="0" applyNumberFormat="1" applyFont="1" applyFill="1" applyBorder="1" applyAlignment="1" applyProtection="1">
      <alignment horizontal="left" vertical="center" wrapText="1"/>
      <protection locked="0" hidden="1"/>
    </xf>
    <xf numFmtId="49" fontId="4" fillId="4" borderId="60" xfId="0" applyNumberFormat="1" applyFont="1" applyFill="1" applyBorder="1" applyAlignment="1" applyProtection="1">
      <alignment horizontal="center"/>
      <protection locked="0" hidden="1"/>
    </xf>
    <xf numFmtId="49" fontId="4" fillId="4" borderId="75" xfId="0" applyNumberFormat="1" applyFont="1" applyFill="1" applyBorder="1" applyAlignment="1" applyProtection="1">
      <alignment horizontal="center"/>
      <protection locked="0" hidden="1"/>
    </xf>
    <xf numFmtId="49" fontId="4" fillId="4" borderId="61" xfId="0" applyNumberFormat="1" applyFont="1" applyFill="1" applyBorder="1" applyAlignment="1" applyProtection="1">
      <alignment horizontal="center"/>
      <protection locked="0" hidden="1"/>
    </xf>
    <xf numFmtId="0" fontId="0" fillId="0" borderId="88" xfId="0" applyNumberFormat="1" applyFill="1" applyBorder="1" applyAlignment="1" applyProtection="1">
      <alignment horizontal="center"/>
      <protection locked="0"/>
    </xf>
    <xf numFmtId="0" fontId="0" fillId="0" borderId="89" xfId="0" applyNumberFormat="1" applyFill="1" applyBorder="1" applyAlignment="1" applyProtection="1">
      <alignment horizontal="center"/>
      <protection locked="0"/>
    </xf>
    <xf numFmtId="0" fontId="0" fillId="0" borderId="90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91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49" fontId="9" fillId="4" borderId="64" xfId="0" applyNumberFormat="1" applyFont="1" applyFill="1" applyBorder="1" applyAlignment="1" applyProtection="1">
      <alignment horizontal="center" vertical="center"/>
      <protection locked="0" hidden="1"/>
    </xf>
    <xf numFmtId="49" fontId="9" fillId="4" borderId="65" xfId="0" applyNumberFormat="1" applyFont="1" applyFill="1" applyBorder="1" applyAlignment="1" applyProtection="1">
      <alignment horizontal="center" vertical="center"/>
      <protection locked="0" hidden="1"/>
    </xf>
    <xf numFmtId="49" fontId="9" fillId="6" borderId="77" xfId="0" applyNumberFormat="1" applyFont="1" applyFill="1" applyBorder="1" applyAlignment="1" applyProtection="1">
      <alignment horizontal="center"/>
      <protection locked="0" hidden="1"/>
    </xf>
    <xf numFmtId="49" fontId="9" fillId="6" borderId="78" xfId="0" applyNumberFormat="1" applyFont="1" applyFill="1" applyBorder="1" applyAlignment="1" applyProtection="1">
      <alignment horizontal="center"/>
      <protection locked="0" hidden="1"/>
    </xf>
    <xf numFmtId="49" fontId="9" fillId="4" borderId="64" xfId="0" applyNumberFormat="1" applyFont="1" applyFill="1" applyBorder="1" applyAlignment="1" applyProtection="1">
      <alignment horizontal="left" vertical="center"/>
      <protection locked="0" hidden="1"/>
    </xf>
    <xf numFmtId="49" fontId="0" fillId="0" borderId="58" xfId="0" applyNumberFormat="1" applyFill="1" applyBorder="1" applyAlignment="1" applyProtection="1">
      <alignment horizontal="center" vertical="top" wrapText="1"/>
      <protection locked="0" hidden="1"/>
    </xf>
    <xf numFmtId="49" fontId="0" fillId="0" borderId="59" xfId="0" applyNumberFormat="1" applyFill="1" applyBorder="1" applyAlignment="1" applyProtection="1">
      <alignment horizontal="center" vertical="top" wrapText="1"/>
      <protection locked="0" hidden="1"/>
    </xf>
    <xf numFmtId="49" fontId="0" fillId="0" borderId="62" xfId="0" applyNumberFormat="1" applyFill="1" applyBorder="1" applyAlignment="1" applyProtection="1">
      <alignment horizontal="center" vertical="top" wrapText="1"/>
      <protection locked="0" hidden="1"/>
    </xf>
    <xf numFmtId="49" fontId="0" fillId="0" borderId="92" xfId="0" applyNumberFormat="1" applyFill="1" applyBorder="1" applyAlignment="1" applyProtection="1">
      <alignment horizontal="center" vertical="top" wrapText="1"/>
      <protection locked="0" hidden="1"/>
    </xf>
    <xf numFmtId="49" fontId="0" fillId="0" borderId="0" xfId="0" applyNumberFormat="1" applyFill="1" applyBorder="1" applyAlignment="1" applyProtection="1">
      <alignment horizontal="center" vertical="top" wrapText="1"/>
      <protection locked="0" hidden="1"/>
    </xf>
    <xf numFmtId="49" fontId="0" fillId="0" borderId="93" xfId="0" applyNumberFormat="1" applyFill="1" applyBorder="1" applyAlignment="1" applyProtection="1">
      <alignment horizontal="center" vertical="top" wrapText="1"/>
      <protection locked="0" hidden="1"/>
    </xf>
    <xf numFmtId="49" fontId="0" fillId="0" borderId="84" xfId="0" applyNumberFormat="1" applyFill="1" applyBorder="1" applyAlignment="1" applyProtection="1">
      <alignment horizontal="center" vertical="top" wrapText="1"/>
      <protection locked="0" hidden="1"/>
    </xf>
    <xf numFmtId="49" fontId="0" fillId="0" borderId="94" xfId="0" applyNumberFormat="1" applyFill="1" applyBorder="1" applyAlignment="1" applyProtection="1">
      <alignment horizontal="center" vertical="top" wrapText="1"/>
      <protection locked="0" hidden="1"/>
    </xf>
    <xf numFmtId="49" fontId="0" fillId="0" borderId="85" xfId="0" applyNumberFormat="1" applyFill="1" applyBorder="1" applyAlignment="1" applyProtection="1">
      <alignment horizontal="center" vertical="top" wrapText="1"/>
      <protection locked="0" hidden="1"/>
    </xf>
    <xf numFmtId="49" fontId="4" fillId="4" borderId="47" xfId="0" applyNumberFormat="1" applyFont="1" applyFill="1" applyBorder="1" applyAlignment="1" applyProtection="1">
      <alignment horizontal="left"/>
      <protection locked="0" hidden="1"/>
    </xf>
    <xf numFmtId="0" fontId="0" fillId="2" borderId="12" xfId="0" applyFill="1" applyBorder="1" applyAlignment="1" applyProtection="1">
      <alignment horizontal="left" vertical="center" wrapText="1"/>
      <protection hidden="1"/>
    </xf>
    <xf numFmtId="0" fontId="0" fillId="2" borderId="13" xfId="0" applyFill="1" applyBorder="1" applyAlignment="1" applyProtection="1">
      <alignment horizontal="left" vertical="center" wrapText="1"/>
      <protection hidden="1"/>
    </xf>
    <xf numFmtId="0" fontId="0" fillId="2" borderId="14" xfId="0" applyFill="1" applyBorder="1" applyAlignment="1" applyProtection="1">
      <alignment horizontal="left" vertical="center" wrapText="1"/>
      <protection hidden="1"/>
    </xf>
    <xf numFmtId="0" fontId="8" fillId="2" borderId="12" xfId="0" applyFont="1" applyFill="1" applyBorder="1" applyAlignment="1" applyProtection="1">
      <alignment horizontal="left" vertical="center" wrapText="1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hidden="1"/>
    </xf>
    <xf numFmtId="49" fontId="4" fillId="3" borderId="33" xfId="0" applyNumberFormat="1" applyFont="1" applyFill="1" applyBorder="1" applyAlignment="1" applyProtection="1">
      <alignment horizontal="left"/>
      <protection locked="0" hidden="1"/>
    </xf>
    <xf numFmtId="49" fontId="4" fillId="3" borderId="63" xfId="0" applyNumberFormat="1" applyFont="1" applyFill="1" applyBorder="1" applyAlignment="1" applyProtection="1">
      <alignment horizontal="left"/>
      <protection locked="0"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49" fontId="4" fillId="3" borderId="60" xfId="0" applyNumberFormat="1" applyFont="1" applyFill="1" applyBorder="1" applyAlignment="1" applyProtection="1">
      <alignment horizontal="center"/>
      <protection locked="0" hidden="1"/>
    </xf>
    <xf numFmtId="49" fontId="4" fillId="3" borderId="75" xfId="0" applyNumberFormat="1" applyFont="1" applyFill="1" applyBorder="1" applyAlignment="1" applyProtection="1">
      <alignment horizontal="center"/>
      <protection locked="0" hidden="1"/>
    </xf>
    <xf numFmtId="49" fontId="4" fillId="3" borderId="61" xfId="0" applyNumberFormat="1" applyFont="1" applyFill="1" applyBorder="1" applyAlignment="1" applyProtection="1">
      <alignment horizontal="center"/>
      <protection locked="0" hidden="1"/>
    </xf>
    <xf numFmtId="0" fontId="8" fillId="2" borderId="14" xfId="0" applyFont="1" applyFill="1" applyBorder="1" applyAlignment="1" applyProtection="1">
      <alignment horizontal="left" vertical="center" wrapText="1"/>
      <protection hidden="1"/>
    </xf>
    <xf numFmtId="0" fontId="32" fillId="2" borderId="12" xfId="0" applyFont="1" applyFill="1" applyBorder="1" applyAlignment="1" applyProtection="1">
      <alignment horizontal="left" vertical="center" wrapText="1"/>
      <protection hidden="1"/>
    </xf>
    <xf numFmtId="0" fontId="32" fillId="2" borderId="13" xfId="0" applyFont="1" applyFill="1" applyBorder="1" applyAlignment="1" applyProtection="1">
      <alignment horizontal="left" vertical="center" wrapText="1"/>
      <protection hidden="1"/>
    </xf>
    <xf numFmtId="0" fontId="32" fillId="2" borderId="14" xfId="0" applyFont="1" applyFill="1" applyBorder="1" applyAlignment="1" applyProtection="1">
      <alignment horizontal="left" vertical="center" wrapText="1"/>
      <protection hidden="1"/>
    </xf>
    <xf numFmtId="49" fontId="0" fillId="0" borderId="58" xfId="0" applyNumberFormat="1" applyFill="1" applyBorder="1" applyAlignment="1" applyProtection="1">
      <alignment horizontal="left" vertical="top" wrapText="1"/>
      <protection locked="0" hidden="1"/>
    </xf>
    <xf numFmtId="49" fontId="0" fillId="0" borderId="59" xfId="0" applyNumberFormat="1" applyFill="1" applyBorder="1" applyAlignment="1" applyProtection="1">
      <alignment horizontal="left" vertical="top" wrapText="1"/>
      <protection locked="0" hidden="1"/>
    </xf>
    <xf numFmtId="49" fontId="0" fillId="0" borderId="62" xfId="0" applyNumberFormat="1" applyFill="1" applyBorder="1" applyAlignment="1" applyProtection="1">
      <alignment horizontal="left" vertical="top" wrapText="1"/>
      <protection locked="0" hidden="1"/>
    </xf>
    <xf numFmtId="49" fontId="0" fillId="0" borderId="92" xfId="0" applyNumberFormat="1" applyFill="1" applyBorder="1" applyAlignment="1" applyProtection="1">
      <alignment horizontal="left" vertical="top" wrapText="1"/>
      <protection locked="0" hidden="1"/>
    </xf>
    <xf numFmtId="49" fontId="0" fillId="0" borderId="0" xfId="0" applyNumberFormat="1" applyFill="1" applyBorder="1" applyAlignment="1" applyProtection="1">
      <alignment horizontal="left" vertical="top" wrapText="1"/>
      <protection locked="0" hidden="1"/>
    </xf>
    <xf numFmtId="49" fontId="0" fillId="0" borderId="93" xfId="0" applyNumberFormat="1" applyFill="1" applyBorder="1" applyAlignment="1" applyProtection="1">
      <alignment horizontal="left" vertical="top" wrapText="1"/>
      <protection locked="0" hidden="1"/>
    </xf>
    <xf numFmtId="49" fontId="0" fillId="0" borderId="84" xfId="0" applyNumberFormat="1" applyFill="1" applyBorder="1" applyAlignment="1" applyProtection="1">
      <alignment horizontal="left" vertical="top" wrapText="1"/>
      <protection locked="0" hidden="1"/>
    </xf>
    <xf numFmtId="49" fontId="0" fillId="0" borderId="94" xfId="0" applyNumberFormat="1" applyFill="1" applyBorder="1" applyAlignment="1" applyProtection="1">
      <alignment horizontal="left" vertical="top" wrapText="1"/>
      <protection locked="0" hidden="1"/>
    </xf>
    <xf numFmtId="49" fontId="0" fillId="0" borderId="85" xfId="0" applyNumberFormat="1" applyFill="1" applyBorder="1" applyAlignment="1" applyProtection="1">
      <alignment horizontal="left" vertical="top" wrapText="1"/>
      <protection locked="0" hidden="1"/>
    </xf>
    <xf numFmtId="49" fontId="4" fillId="3" borderId="12" xfId="0" applyNumberFormat="1" applyFont="1" applyFill="1" applyBorder="1" applyAlignment="1" applyProtection="1">
      <alignment horizontal="left"/>
      <protection locked="0" hidden="1"/>
    </xf>
    <xf numFmtId="49" fontId="4" fillId="3" borderId="13" xfId="0" applyNumberFormat="1" applyFont="1" applyFill="1" applyBorder="1" applyAlignment="1" applyProtection="1">
      <alignment horizontal="left"/>
      <protection locked="0" hidden="1"/>
    </xf>
    <xf numFmtId="49" fontId="4" fillId="3" borderId="14" xfId="0" applyNumberFormat="1" applyFont="1" applyFill="1" applyBorder="1" applyAlignment="1" applyProtection="1">
      <alignment horizontal="left"/>
      <protection locked="0" hidden="1"/>
    </xf>
    <xf numFmtId="49" fontId="9" fillId="6" borderId="65" xfId="0" applyNumberFormat="1" applyFont="1" applyFill="1" applyBorder="1" applyAlignment="1" applyProtection="1">
      <alignment horizontal="left" vertical="center"/>
      <protection locked="0" hidden="1"/>
    </xf>
    <xf numFmtId="49" fontId="2" fillId="3" borderId="12" xfId="1" applyNumberFormat="1" applyFill="1" applyBorder="1" applyAlignment="1" applyProtection="1">
      <alignment horizontal="center"/>
      <protection locked="0" hidden="1"/>
    </xf>
    <xf numFmtId="49" fontId="4" fillId="3" borderId="13" xfId="0" applyNumberFormat="1" applyFont="1" applyFill="1" applyBorder="1" applyAlignment="1" applyProtection="1">
      <alignment horizontal="center"/>
      <protection locked="0" hidden="1"/>
    </xf>
    <xf numFmtId="49" fontId="4" fillId="3" borderId="14" xfId="0" applyNumberFormat="1" applyFont="1" applyFill="1" applyBorder="1" applyAlignment="1" applyProtection="1">
      <alignment horizontal="center"/>
      <protection locked="0" hidden="1"/>
    </xf>
    <xf numFmtId="49" fontId="4" fillId="4" borderId="33" xfId="0" applyNumberFormat="1" applyFont="1" applyFill="1" applyBorder="1" applyAlignment="1" applyProtection="1">
      <alignment horizontal="center"/>
      <protection locked="0" hidden="1"/>
    </xf>
    <xf numFmtId="49" fontId="4" fillId="4" borderId="63" xfId="0" applyNumberFormat="1" applyFont="1" applyFill="1" applyBorder="1" applyAlignment="1" applyProtection="1">
      <alignment horizontal="center"/>
      <protection locked="0" hidden="1"/>
    </xf>
    <xf numFmtId="49" fontId="4" fillId="3" borderId="74" xfId="0" applyNumberFormat="1" applyFont="1" applyFill="1" applyBorder="1" applyAlignment="1" applyProtection="1">
      <alignment horizontal="left" vertical="center"/>
      <protection locked="0" hidden="1"/>
    </xf>
    <xf numFmtId="49" fontId="4" fillId="3" borderId="75" xfId="0" applyNumberFormat="1" applyFont="1" applyFill="1" applyBorder="1" applyAlignment="1" applyProtection="1">
      <alignment horizontal="left" vertical="center"/>
      <protection locked="0" hidden="1"/>
    </xf>
    <xf numFmtId="49" fontId="4" fillId="3" borderId="61" xfId="0" applyNumberFormat="1" applyFont="1" applyFill="1" applyBorder="1" applyAlignment="1" applyProtection="1">
      <alignment horizontal="left" vertical="center"/>
      <protection locked="0" hidden="1"/>
    </xf>
    <xf numFmtId="49" fontId="9" fillId="6" borderId="70" xfId="0" applyNumberFormat="1" applyFont="1" applyFill="1" applyBorder="1" applyAlignment="1" applyProtection="1">
      <alignment horizontal="left" vertical="center"/>
      <protection locked="0"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49" fontId="15" fillId="3" borderId="12" xfId="3" applyNumberFormat="1" applyFont="1" applyFill="1" applyBorder="1" applyAlignment="1" applyProtection="1">
      <alignment horizontal="left"/>
      <protection locked="0" hidden="1"/>
    </xf>
    <xf numFmtId="0" fontId="14" fillId="0" borderId="13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49" fontId="4" fillId="0" borderId="12" xfId="0" applyNumberFormat="1" applyFont="1" applyFill="1" applyBorder="1" applyAlignment="1" applyProtection="1">
      <alignment horizontal="left"/>
      <protection locked="0" hidden="1"/>
    </xf>
    <xf numFmtId="49" fontId="4" fillId="0" borderId="13" xfId="0" applyNumberFormat="1" applyFont="1" applyFill="1" applyBorder="1" applyAlignment="1" applyProtection="1">
      <alignment horizontal="left"/>
      <protection locked="0" hidden="1"/>
    </xf>
    <xf numFmtId="49" fontId="4" fillId="0" borderId="14" xfId="0" applyNumberFormat="1" applyFont="1" applyFill="1" applyBorder="1" applyAlignment="1" applyProtection="1">
      <alignment horizontal="left"/>
      <protection locked="0" hidden="1"/>
    </xf>
    <xf numFmtId="49" fontId="4" fillId="6" borderId="12" xfId="0" applyNumberFormat="1" applyFont="1" applyFill="1" applyBorder="1" applyAlignment="1" applyProtection="1">
      <alignment horizontal="left"/>
      <protection locked="0" hidden="1"/>
    </xf>
    <xf numFmtId="49" fontId="4" fillId="6" borderId="13" xfId="0" applyNumberFormat="1" applyFont="1" applyFill="1" applyBorder="1" applyAlignment="1" applyProtection="1">
      <alignment horizontal="left"/>
      <protection locked="0" hidden="1"/>
    </xf>
    <xf numFmtId="49" fontId="4" fillId="6" borderId="14" xfId="0" applyNumberFormat="1" applyFont="1" applyFill="1" applyBorder="1" applyAlignment="1" applyProtection="1">
      <alignment horizontal="left"/>
      <protection locked="0" hidden="1"/>
    </xf>
    <xf numFmtId="49" fontId="4" fillId="4" borderId="12" xfId="0" applyNumberFormat="1" applyFont="1" applyFill="1" applyBorder="1" applyAlignment="1" applyProtection="1">
      <alignment horizontal="left"/>
      <protection locked="0" hidden="1"/>
    </xf>
    <xf numFmtId="49" fontId="4" fillId="4" borderId="13" xfId="0" applyNumberFormat="1" applyFont="1" applyFill="1" applyBorder="1" applyAlignment="1" applyProtection="1">
      <alignment horizontal="left"/>
      <protection locked="0" hidden="1"/>
    </xf>
    <xf numFmtId="49" fontId="4" fillId="4" borderId="14" xfId="0" applyNumberFormat="1" applyFont="1" applyFill="1" applyBorder="1" applyAlignment="1" applyProtection="1">
      <alignment horizontal="left"/>
      <protection locked="0" hidden="1"/>
    </xf>
    <xf numFmtId="49" fontId="4" fillId="4" borderId="58" xfId="0" applyNumberFormat="1" applyFont="1" applyFill="1" applyBorder="1" applyAlignment="1" applyProtection="1">
      <alignment horizontal="left"/>
      <protection locked="0" hidden="1"/>
    </xf>
    <xf numFmtId="49" fontId="4" fillId="4" borderId="62" xfId="0" applyNumberFormat="1" applyFont="1" applyFill="1" applyBorder="1" applyAlignment="1" applyProtection="1">
      <alignment horizontal="left"/>
      <protection locked="0" hidden="1"/>
    </xf>
    <xf numFmtId="14" fontId="4" fillId="3" borderId="58" xfId="0" applyNumberFormat="1" applyFont="1" applyFill="1" applyBorder="1" applyAlignment="1" applyProtection="1">
      <alignment horizontal="left"/>
      <protection locked="0" hidden="1"/>
    </xf>
    <xf numFmtId="14" fontId="4" fillId="3" borderId="62" xfId="0" applyNumberFormat="1" applyFont="1" applyFill="1" applyBorder="1" applyAlignment="1" applyProtection="1">
      <alignment horizontal="left"/>
      <protection locked="0" hidden="1"/>
    </xf>
    <xf numFmtId="0" fontId="4" fillId="3" borderId="12" xfId="0" applyNumberFormat="1" applyFont="1" applyFill="1" applyBorder="1" applyAlignment="1" applyProtection="1">
      <alignment horizontal="left"/>
      <protection locked="0" hidden="1"/>
    </xf>
    <xf numFmtId="0" fontId="4" fillId="3" borderId="13" xfId="0" applyNumberFormat="1" applyFont="1" applyFill="1" applyBorder="1" applyAlignment="1" applyProtection="1">
      <alignment horizontal="left"/>
      <protection locked="0" hidden="1"/>
    </xf>
    <xf numFmtId="0" fontId="4" fillId="3" borderId="14" xfId="0" applyNumberFormat="1" applyFont="1" applyFill="1" applyBorder="1" applyAlignment="1" applyProtection="1">
      <alignment horizontal="left"/>
      <protection locked="0" hidden="1"/>
    </xf>
    <xf numFmtId="49" fontId="4" fillId="0" borderId="58" xfId="0" applyNumberFormat="1" applyFont="1" applyFill="1" applyBorder="1" applyAlignment="1" applyProtection="1">
      <alignment horizontal="left"/>
      <protection locked="0" hidden="1"/>
    </xf>
    <xf numFmtId="49" fontId="4" fillId="0" borderId="62" xfId="0" applyNumberFormat="1" applyFont="1" applyFill="1" applyBorder="1" applyAlignment="1" applyProtection="1">
      <alignment horizontal="left"/>
      <protection locked="0" hidden="1"/>
    </xf>
    <xf numFmtId="49" fontId="4" fillId="4" borderId="60" xfId="0" applyNumberFormat="1" applyFont="1" applyFill="1" applyBorder="1" applyAlignment="1" applyProtection="1">
      <alignment horizontal="left" vertical="center"/>
      <protection locked="0" hidden="1"/>
    </xf>
    <xf numFmtId="49" fontId="4" fillId="4" borderId="76" xfId="0" applyNumberFormat="1" applyFont="1" applyFill="1" applyBorder="1" applyAlignment="1" applyProtection="1">
      <alignment horizontal="left" vertical="center"/>
      <protection locked="0" hidden="1"/>
    </xf>
    <xf numFmtId="49" fontId="4" fillId="6" borderId="12" xfId="0" applyNumberFormat="1" applyFont="1" applyFill="1" applyBorder="1" applyAlignment="1" applyProtection="1">
      <alignment horizontal="left" vertical="center" wrapText="1"/>
      <protection locked="0" hidden="1"/>
    </xf>
    <xf numFmtId="49" fontId="4" fillId="6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4" fillId="6" borderId="14" xfId="0" applyNumberFormat="1" applyFont="1" applyFill="1" applyBorder="1" applyAlignment="1" applyProtection="1">
      <alignment horizontal="left" vertical="center" wrapText="1"/>
      <protection locked="0" hidden="1"/>
    </xf>
    <xf numFmtId="49" fontId="4" fillId="6" borderId="13" xfId="0" applyNumberFormat="1" applyFont="1" applyFill="1" applyBorder="1" applyProtection="1">
      <protection locked="0" hidden="1"/>
    </xf>
    <xf numFmtId="49" fontId="4" fillId="6" borderId="14" xfId="0" applyNumberFormat="1" applyFont="1" applyFill="1" applyBorder="1" applyProtection="1">
      <protection locked="0" hidden="1"/>
    </xf>
    <xf numFmtId="0" fontId="0" fillId="2" borderId="15" xfId="0" applyFill="1" applyBorder="1" applyAlignment="1" applyProtection="1">
      <alignment horizontal="center"/>
      <protection hidden="1"/>
    </xf>
    <xf numFmtId="49" fontId="2" fillId="6" borderId="58" xfId="1" applyNumberFormat="1" applyFont="1" applyFill="1" applyBorder="1" applyAlignment="1" applyProtection="1">
      <alignment horizontal="left"/>
      <protection locked="0" hidden="1"/>
    </xf>
    <xf numFmtId="49" fontId="4" fillId="6" borderId="62" xfId="0" applyNumberFormat="1" applyFont="1" applyFill="1" applyBorder="1" applyAlignment="1" applyProtection="1">
      <alignment horizontal="left"/>
      <protection locked="0" hidden="1"/>
    </xf>
    <xf numFmtId="49" fontId="9" fillId="6" borderId="84" xfId="0" applyNumberFormat="1" applyFont="1" applyFill="1" applyBorder="1" applyAlignment="1" applyProtection="1">
      <alignment horizontal="left" vertical="center"/>
      <protection locked="0" hidden="1"/>
    </xf>
    <xf numFmtId="49" fontId="9" fillId="6" borderId="85" xfId="0" applyNumberFormat="1" applyFont="1" applyFill="1" applyBorder="1" applyAlignment="1" applyProtection="1">
      <alignment horizontal="left" vertical="center"/>
      <protection locked="0" hidden="1"/>
    </xf>
    <xf numFmtId="49" fontId="9" fillId="3" borderId="69" xfId="0" applyNumberFormat="1" applyFont="1" applyFill="1" applyBorder="1" applyAlignment="1" applyProtection="1">
      <alignment horizontal="left" vertical="center"/>
      <protection locked="0" hidden="1"/>
    </xf>
    <xf numFmtId="49" fontId="9" fillId="3" borderId="68" xfId="0" applyNumberFormat="1" applyFont="1" applyFill="1" applyBorder="1" applyAlignment="1" applyProtection="1">
      <alignment horizontal="left" vertical="center"/>
      <protection locked="0" hidden="1"/>
    </xf>
    <xf numFmtId="0" fontId="0" fillId="2" borderId="58" xfId="0" applyFill="1" applyBorder="1" applyAlignment="1" applyProtection="1">
      <alignment horizontal="center" vertical="center" wrapText="1"/>
      <protection hidden="1"/>
    </xf>
    <xf numFmtId="0" fontId="0" fillId="2" borderId="62" xfId="0" applyFill="1" applyBorder="1" applyAlignment="1" applyProtection="1">
      <alignment horizontal="center" vertical="center" wrapText="1"/>
      <protection hidden="1"/>
    </xf>
    <xf numFmtId="0" fontId="0" fillId="2" borderId="86" xfId="0" applyFill="1" applyBorder="1" applyAlignment="1" applyProtection="1">
      <alignment horizontal="center" vertical="center" wrapText="1"/>
      <protection hidden="1"/>
    </xf>
    <xf numFmtId="0" fontId="0" fillId="2" borderId="87" xfId="0" applyFill="1" applyBorder="1" applyAlignment="1" applyProtection="1">
      <alignment horizontal="center" vertical="center" wrapText="1"/>
      <protection hidden="1"/>
    </xf>
    <xf numFmtId="14" fontId="9" fillId="3" borderId="64" xfId="0" applyNumberFormat="1" applyFont="1" applyFill="1" applyBorder="1" applyAlignment="1" applyProtection="1">
      <alignment horizontal="left" vertical="center"/>
      <protection locked="0" hidden="1"/>
    </xf>
    <xf numFmtId="14" fontId="9" fillId="3" borderId="65" xfId="0" applyNumberFormat="1" applyFont="1" applyFill="1" applyBorder="1" applyAlignment="1" applyProtection="1">
      <alignment horizontal="left" vertical="center"/>
      <protection locked="0" hidden="1"/>
    </xf>
    <xf numFmtId="49" fontId="9" fillId="3" borderId="67" xfId="0" applyNumberFormat="1" applyFont="1" applyFill="1" applyBorder="1" applyAlignment="1" applyProtection="1">
      <alignment horizontal="left" vertical="center"/>
      <protection locked="0" hidden="1"/>
    </xf>
    <xf numFmtId="49" fontId="9" fillId="3" borderId="73" xfId="0" applyNumberFormat="1" applyFont="1" applyFill="1" applyBorder="1" applyAlignment="1" applyProtection="1">
      <alignment horizontal="left" vertical="center"/>
      <protection locked="0" hidden="1"/>
    </xf>
    <xf numFmtId="49" fontId="9" fillId="4" borderId="65" xfId="0" applyNumberFormat="1" applyFont="1" applyFill="1" applyBorder="1" applyAlignment="1" applyProtection="1">
      <alignment horizontal="left" vertical="center"/>
      <protection locked="0" hidden="1"/>
    </xf>
    <xf numFmtId="0" fontId="9" fillId="3" borderId="67" xfId="0" applyNumberFormat="1" applyFont="1" applyFill="1" applyBorder="1" applyAlignment="1" applyProtection="1">
      <alignment horizontal="left" vertical="center"/>
      <protection locked="0"/>
    </xf>
    <xf numFmtId="0" fontId="9" fillId="3" borderId="68" xfId="0" applyNumberFormat="1" applyFont="1" applyFill="1" applyBorder="1" applyAlignment="1" applyProtection="1">
      <alignment horizontal="left" vertical="center"/>
      <protection locked="0"/>
    </xf>
    <xf numFmtId="0" fontId="9" fillId="3" borderId="69" xfId="0" applyNumberFormat="1" applyFont="1" applyFill="1" applyBorder="1" applyAlignment="1" applyProtection="1">
      <alignment horizontal="left" vertical="center"/>
      <protection locked="0" hidden="1"/>
    </xf>
    <xf numFmtId="0" fontId="9" fillId="3" borderId="68" xfId="0" applyNumberFormat="1" applyFont="1" applyFill="1" applyBorder="1" applyAlignment="1" applyProtection="1">
      <alignment horizontal="left" vertical="center"/>
      <protection locked="0" hidden="1"/>
    </xf>
    <xf numFmtId="49" fontId="9" fillId="4" borderId="16" xfId="0" applyNumberFormat="1" applyFont="1" applyFill="1" applyBorder="1" applyAlignment="1" applyProtection="1">
      <alignment horizontal="left" vertical="center"/>
      <protection locked="0" hidden="1"/>
    </xf>
    <xf numFmtId="49" fontId="9" fillId="4" borderId="82" xfId="0" applyNumberFormat="1" applyFont="1" applyFill="1" applyBorder="1" applyAlignment="1" applyProtection="1">
      <alignment horizontal="left" vertical="center"/>
      <protection locked="0" hidden="1"/>
    </xf>
    <xf numFmtId="49" fontId="9" fillId="6" borderId="83" xfId="0" applyNumberFormat="1" applyFont="1" applyFill="1" applyBorder="1" applyAlignment="1" applyProtection="1">
      <alignment horizontal="left" vertical="center"/>
      <protection locked="0" hidden="1"/>
    </xf>
    <xf numFmtId="49" fontId="9" fillId="6" borderId="27" xfId="0" applyNumberFormat="1" applyFont="1" applyFill="1" applyBorder="1" applyAlignment="1" applyProtection="1">
      <alignment horizontal="left" vertical="center"/>
      <protection locked="0" hidden="1"/>
    </xf>
    <xf numFmtId="49" fontId="9" fillId="6" borderId="26" xfId="0" applyNumberFormat="1" applyFont="1" applyFill="1" applyBorder="1" applyAlignment="1" applyProtection="1">
      <alignment horizontal="left" vertical="center"/>
      <protection locked="0" hidden="1"/>
    </xf>
    <xf numFmtId="49" fontId="9" fillId="6" borderId="80" xfId="0" applyNumberFormat="1" applyFont="1" applyFill="1" applyBorder="1" applyAlignment="1" applyProtection="1">
      <alignment horizontal="left" vertical="center"/>
      <protection locked="0" hidden="1"/>
    </xf>
    <xf numFmtId="49" fontId="9" fillId="6" borderId="81" xfId="0" applyNumberFormat="1" applyFont="1" applyFill="1" applyBorder="1" applyAlignment="1" applyProtection="1">
      <alignment horizontal="left" vertical="center"/>
      <protection locked="0" hidden="1"/>
    </xf>
    <xf numFmtId="49" fontId="9" fillId="4" borderId="26" xfId="0" applyNumberFormat="1" applyFont="1" applyFill="1" applyBorder="1" applyAlignment="1" applyProtection="1">
      <alignment horizontal="left" vertical="center"/>
      <protection locked="0" hidden="1"/>
    </xf>
    <xf numFmtId="49" fontId="9" fillId="4" borderId="25" xfId="0" applyNumberFormat="1" applyFont="1" applyFill="1" applyBorder="1" applyAlignment="1" applyProtection="1">
      <alignment horizontal="left" vertical="center"/>
      <protection locked="0" hidden="1"/>
    </xf>
    <xf numFmtId="49" fontId="9" fillId="3" borderId="79" xfId="0" applyNumberFormat="1" applyFont="1" applyFill="1" applyBorder="1" applyAlignment="1" applyProtection="1">
      <alignment horizontal="left" vertical="center"/>
      <protection locked="0" hidden="1"/>
    </xf>
    <xf numFmtId="0" fontId="0" fillId="0" borderId="68" xfId="0" applyBorder="1" applyAlignment="1" applyProtection="1">
      <alignment horizontal="left" vertical="center"/>
      <protection locked="0"/>
    </xf>
    <xf numFmtId="49" fontId="9" fillId="3" borderId="64" xfId="0" applyNumberFormat="1" applyFont="1" applyFill="1" applyBorder="1" applyAlignment="1" applyProtection="1">
      <alignment horizontal="left" vertical="center"/>
      <protection locked="0" hidden="1"/>
    </xf>
    <xf numFmtId="49" fontId="9" fillId="3" borderId="83" xfId="0" applyNumberFormat="1" applyFont="1" applyFill="1" applyBorder="1" applyAlignment="1" applyProtection="1">
      <alignment horizontal="left" vertical="center"/>
      <protection locked="0" hidden="1"/>
    </xf>
    <xf numFmtId="49" fontId="4" fillId="4" borderId="47" xfId="0" applyNumberFormat="1" applyFont="1" applyFill="1" applyBorder="1" applyAlignment="1" applyProtection="1">
      <alignment horizontal="center"/>
      <protection locked="0" hidden="1"/>
    </xf>
    <xf numFmtId="49" fontId="4" fillId="4" borderId="33" xfId="0" applyNumberFormat="1" applyFont="1" applyFill="1" applyBorder="1" applyAlignment="1" applyProtection="1">
      <alignment horizontal="left"/>
      <protection locked="0" hidden="1"/>
    </xf>
    <xf numFmtId="49" fontId="4" fillId="4" borderId="63" xfId="0" applyNumberFormat="1" applyFont="1" applyFill="1" applyBorder="1" applyAlignment="1" applyProtection="1">
      <alignment horizontal="left"/>
      <protection locked="0" hidden="1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4" fillId="3" borderId="74" xfId="0" applyNumberFormat="1" applyFont="1" applyFill="1" applyBorder="1" applyAlignment="1" applyProtection="1">
      <alignment horizontal="left"/>
      <protection locked="0" hidden="1"/>
    </xf>
    <xf numFmtId="0" fontId="4" fillId="3" borderId="75" xfId="0" applyNumberFormat="1" applyFont="1" applyFill="1" applyBorder="1" applyAlignment="1" applyProtection="1">
      <alignment horizontal="left"/>
      <protection locked="0" hidden="1"/>
    </xf>
    <xf numFmtId="0" fontId="4" fillId="3" borderId="76" xfId="0" applyNumberFormat="1" applyFont="1" applyFill="1" applyBorder="1" applyAlignment="1" applyProtection="1">
      <alignment horizontal="left"/>
      <protection locked="0" hidden="1"/>
    </xf>
    <xf numFmtId="49" fontId="4" fillId="6" borderId="58" xfId="0" applyNumberFormat="1" applyFont="1" applyFill="1" applyBorder="1" applyAlignment="1" applyProtection="1">
      <alignment horizontal="left"/>
      <protection locked="0" hidden="1"/>
    </xf>
    <xf numFmtId="49" fontId="4" fillId="6" borderId="59" xfId="0" applyNumberFormat="1" applyFont="1" applyFill="1" applyBorder="1" applyAlignment="1" applyProtection="1">
      <alignment horizontal="left"/>
      <protection locked="0" hidden="1"/>
    </xf>
    <xf numFmtId="49" fontId="4" fillId="3" borderId="23" xfId="0" applyNumberFormat="1" applyFont="1" applyFill="1" applyBorder="1" applyAlignment="1" applyProtection="1">
      <alignment horizontal="center" vertical="center"/>
      <protection locked="0" hidden="1"/>
    </xf>
    <xf numFmtId="49" fontId="4" fillId="3" borderId="66" xfId="0" applyNumberFormat="1" applyFont="1" applyFill="1" applyBorder="1" applyAlignment="1" applyProtection="1">
      <alignment horizontal="center" vertical="center"/>
      <protection locked="0" hidden="1"/>
    </xf>
    <xf numFmtId="49" fontId="9" fillId="6" borderId="71" xfId="0" applyNumberFormat="1" applyFont="1" applyFill="1" applyBorder="1" applyAlignment="1" applyProtection="1">
      <alignment horizontal="left" vertical="center"/>
      <protection locked="0" hidden="1"/>
    </xf>
    <xf numFmtId="49" fontId="9" fillId="6" borderId="72" xfId="0" applyNumberFormat="1" applyFont="1" applyFill="1" applyBorder="1" applyAlignment="1" applyProtection="1">
      <alignment horizontal="left" vertical="center"/>
      <protection locked="0" hidden="1"/>
    </xf>
    <xf numFmtId="0" fontId="33" fillId="0" borderId="37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/>
      <protection hidden="1"/>
    </xf>
    <xf numFmtId="49" fontId="2" fillId="4" borderId="58" xfId="1" applyNumberFormat="1" applyFill="1" applyBorder="1" applyAlignment="1" applyProtection="1">
      <alignment horizontal="center"/>
      <protection locked="0" hidden="1"/>
    </xf>
    <xf numFmtId="49" fontId="4" fillId="3" borderId="60" xfId="0" applyNumberFormat="1" applyFont="1" applyFill="1" applyBorder="1" applyAlignment="1" applyProtection="1">
      <alignment horizontal="center" vertical="center"/>
      <protection locked="0" hidden="1"/>
    </xf>
    <xf numFmtId="49" fontId="4" fillId="3" borderId="61" xfId="0" applyNumberFormat="1" applyFont="1" applyFill="1" applyBorder="1" applyAlignment="1" applyProtection="1">
      <alignment horizontal="center" vertical="center"/>
      <protection locked="0" hidden="1"/>
    </xf>
    <xf numFmtId="0" fontId="0" fillId="2" borderId="58" xfId="0" applyFill="1" applyBorder="1" applyAlignment="1" applyProtection="1">
      <alignment horizontal="center" vertical="center"/>
      <protection hidden="1"/>
    </xf>
    <xf numFmtId="0" fontId="0" fillId="2" borderId="62" xfId="0" applyFill="1" applyBorder="1" applyAlignment="1" applyProtection="1">
      <alignment horizontal="center" vertical="center"/>
      <protection hidden="1"/>
    </xf>
    <xf numFmtId="0" fontId="8" fillId="2" borderId="59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34" fillId="2" borderId="0" xfId="0" applyFont="1" applyFill="1" applyProtection="1">
      <protection hidden="1"/>
    </xf>
  </cellXfs>
  <cellStyles count="5">
    <cellStyle name="Гиперссылка" xfId="1" builtinId="8"/>
    <cellStyle name="Обычный" xfId="0" builtinId="0"/>
    <cellStyle name="Обычный_Лист1" xfId="3" xr:uid="{00000000-0005-0000-0000-000003000000}"/>
    <cellStyle name="Обычный_Reg Form" xfId="2" xr:uid="{00000000-0005-0000-0000-000002000000}"/>
    <cellStyle name="Процентный" xfId="4" builtinId="5"/>
  </cellStyles>
  <dxfs count="3">
    <dxf>
      <font>
        <condense val="0"/>
        <extend val="0"/>
        <color indexed="32"/>
      </font>
      <fill>
        <patternFill>
          <bgColor indexed="4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158</xdr:row>
      <xdr:rowOff>171450</xdr:rowOff>
    </xdr:from>
    <xdr:to>
      <xdr:col>5</xdr:col>
      <xdr:colOff>514350</xdr:colOff>
      <xdr:row>165</xdr:row>
      <xdr:rowOff>57150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847725" y="38985825"/>
          <a:ext cx="2762250" cy="1047750"/>
        </a:xfrm>
        <a:prstGeom prst="cloudCallout">
          <a:avLst>
            <a:gd name="adj1" fmla="val -75398"/>
            <a:gd name="adj2" fmla="val 10211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Начало Трудовой деятельности например 1995 год / </a:t>
          </a:r>
          <a:r>
            <a:rPr lang="en-US" sz="1000" b="0" i="0" strike="noStrike">
              <a:solidFill>
                <a:srgbClr val="000000"/>
              </a:solidFill>
              <a:latin typeface="Arial Cyr"/>
            </a:rPr>
            <a:t>Start of your Experience - fm 1995</a:t>
          </a:r>
        </a:p>
      </xdr:txBody>
    </xdr:sp>
    <xdr:clientData/>
  </xdr:twoCellAnchor>
  <xdr:twoCellAnchor>
    <xdr:from>
      <xdr:col>6</xdr:col>
      <xdr:colOff>428625</xdr:colOff>
      <xdr:row>157</xdr:row>
      <xdr:rowOff>161925</xdr:rowOff>
    </xdr:from>
    <xdr:to>
      <xdr:col>9</xdr:col>
      <xdr:colOff>57150</xdr:colOff>
      <xdr:row>164</xdr:row>
      <xdr:rowOff>76200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4733925" y="38785800"/>
          <a:ext cx="2590800" cy="1104900"/>
        </a:xfrm>
        <a:prstGeom prst="cloudCallout">
          <a:avLst>
            <a:gd name="adj1" fmla="val -230514"/>
            <a:gd name="adj2" fmla="val 186282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Конец (последнее судно) 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на пример 2005 год / </a:t>
          </a:r>
          <a:r>
            <a:rPr lang="en-US" sz="1000" b="0" i="0" strike="noStrike">
              <a:solidFill>
                <a:srgbClr val="000000"/>
              </a:solidFill>
              <a:latin typeface="Arial Cyr"/>
            </a:rPr>
            <a:t>Your last vessel at 2005.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N238"/>
  <sheetViews>
    <sheetView tabSelected="1" showOutlineSymbols="0" topLeftCell="B182" zoomScaleNormal="100" zoomScaleSheetLayoutView="100" workbookViewId="0">
      <selection activeCell="D205" sqref="D205"/>
    </sheetView>
  </sheetViews>
  <sheetFormatPr baseColWidth="10" defaultColWidth="13.83203125" defaultRowHeight="13"/>
  <cols>
    <col min="1" max="1" width="16.5" style="5" hidden="1" customWidth="1"/>
    <col min="2" max="2" width="12.6640625" style="5" customWidth="1"/>
    <col min="3" max="3" width="12.5" style="5" customWidth="1"/>
    <col min="4" max="4" width="9.1640625" style="5" customWidth="1"/>
    <col min="5" max="5" width="12" style="5" customWidth="1"/>
    <col min="6" max="6" width="18.1640625" style="5" customWidth="1"/>
    <col min="7" max="7" width="15.5" style="5" customWidth="1"/>
    <col min="8" max="8" width="12.6640625" style="5" customWidth="1"/>
    <col min="9" max="9" width="16.1640625" style="5" customWidth="1"/>
    <col min="10" max="10" width="13.5" style="5" customWidth="1"/>
    <col min="11" max="11" width="16.33203125" style="5" customWidth="1"/>
    <col min="12" max="12" width="17" style="5" customWidth="1"/>
    <col min="13" max="14" width="13" style="5" customWidth="1"/>
    <col min="15" max="15" width="12.5" style="5" customWidth="1"/>
    <col min="16" max="33" width="20.83203125" style="5" customWidth="1"/>
    <col min="34" max="34" width="31.5" style="5" hidden="1" customWidth="1"/>
    <col min="35" max="66" width="20.83203125" style="5" hidden="1" customWidth="1"/>
    <col min="67" max="254" width="20.83203125" style="5" customWidth="1"/>
    <col min="255" max="255" width="14.5" style="5" customWidth="1"/>
    <col min="256" max="16384" width="13.83203125" style="5"/>
  </cols>
  <sheetData>
    <row r="1" spans="1:248" ht="0.75" customHeight="1">
      <c r="A1" s="127"/>
      <c r="B1" s="128" t="s">
        <v>1317</v>
      </c>
      <c r="C1" s="128" t="s">
        <v>156</v>
      </c>
      <c r="D1" s="128" t="s">
        <v>157</v>
      </c>
      <c r="E1" s="128" t="s">
        <v>158</v>
      </c>
      <c r="F1" s="128" t="s">
        <v>159</v>
      </c>
      <c r="G1" s="128" t="s">
        <v>160</v>
      </c>
      <c r="H1" s="128" t="s">
        <v>161</v>
      </c>
      <c r="I1" s="128" t="s">
        <v>162</v>
      </c>
      <c r="J1" s="128" t="s">
        <v>163</v>
      </c>
      <c r="K1" s="128" t="s">
        <v>164</v>
      </c>
      <c r="L1" s="128" t="s">
        <v>165</v>
      </c>
      <c r="M1" s="128" t="s">
        <v>166</v>
      </c>
      <c r="N1" s="128" t="s">
        <v>167</v>
      </c>
      <c r="O1" s="128" t="s">
        <v>168</v>
      </c>
      <c r="P1" s="128" t="s">
        <v>169</v>
      </c>
      <c r="Q1" s="128" t="s">
        <v>170</v>
      </c>
      <c r="R1" s="128" t="s">
        <v>171</v>
      </c>
      <c r="S1" s="128" t="s">
        <v>172</v>
      </c>
      <c r="T1" s="128" t="s">
        <v>173</v>
      </c>
      <c r="U1" s="128" t="s">
        <v>174</v>
      </c>
      <c r="V1" s="128" t="s">
        <v>175</v>
      </c>
      <c r="W1" s="128" t="s">
        <v>176</v>
      </c>
      <c r="X1" s="128" t="s">
        <v>177</v>
      </c>
      <c r="Y1" s="128" t="s">
        <v>178</v>
      </c>
      <c r="Z1" s="128" t="s">
        <v>179</v>
      </c>
      <c r="AA1" s="128" t="s">
        <v>180</v>
      </c>
      <c r="AB1" s="128" t="s">
        <v>181</v>
      </c>
      <c r="AC1" s="128" t="s">
        <v>182</v>
      </c>
      <c r="AD1" s="128" t="s">
        <v>183</v>
      </c>
      <c r="AE1" s="128" t="s">
        <v>184</v>
      </c>
      <c r="AF1" s="128" t="s">
        <v>185</v>
      </c>
      <c r="AG1" s="128" t="s">
        <v>186</v>
      </c>
      <c r="AH1" s="128" t="s">
        <v>187</v>
      </c>
      <c r="AI1" s="128" t="s">
        <v>188</v>
      </c>
      <c r="AJ1" s="128" t="s">
        <v>189</v>
      </c>
      <c r="AK1" s="128" t="s">
        <v>190</v>
      </c>
      <c r="AL1" s="128" t="s">
        <v>191</v>
      </c>
      <c r="AM1" s="128" t="s">
        <v>192</v>
      </c>
      <c r="AN1" s="128" t="s">
        <v>193</v>
      </c>
      <c r="AO1" s="128" t="s">
        <v>194</v>
      </c>
      <c r="AP1" s="128" t="s">
        <v>195</v>
      </c>
      <c r="AQ1" s="128" t="s">
        <v>196</v>
      </c>
      <c r="AR1" s="128" t="s">
        <v>197</v>
      </c>
      <c r="AS1" s="128" t="s">
        <v>198</v>
      </c>
      <c r="AT1" s="128" t="s">
        <v>199</v>
      </c>
      <c r="AU1" s="128" t="s">
        <v>200</v>
      </c>
      <c r="AV1" s="128" t="s">
        <v>201</v>
      </c>
      <c r="AW1" s="128" t="s">
        <v>202</v>
      </c>
      <c r="AX1" s="128" t="s">
        <v>203</v>
      </c>
      <c r="AY1" s="128" t="s">
        <v>204</v>
      </c>
      <c r="AZ1" s="128" t="s">
        <v>205</v>
      </c>
      <c r="BA1" s="128" t="s">
        <v>206</v>
      </c>
      <c r="BB1" s="128" t="s">
        <v>207</v>
      </c>
      <c r="BC1" s="128" t="s">
        <v>208</v>
      </c>
      <c r="BD1" s="128" t="s">
        <v>209</v>
      </c>
      <c r="BE1" s="128" t="s">
        <v>210</v>
      </c>
      <c r="BF1" s="128" t="s">
        <v>211</v>
      </c>
      <c r="BG1" s="128" t="s">
        <v>212</v>
      </c>
      <c r="BH1" s="128" t="s">
        <v>213</v>
      </c>
      <c r="BI1" s="128" t="s">
        <v>214</v>
      </c>
      <c r="BJ1" s="128" t="s">
        <v>215</v>
      </c>
      <c r="BK1" s="128" t="s">
        <v>216</v>
      </c>
      <c r="BL1" s="128" t="s">
        <v>217</v>
      </c>
      <c r="BM1" s="128" t="s">
        <v>218</v>
      </c>
      <c r="BN1" s="128" t="s">
        <v>219</v>
      </c>
      <c r="BO1" s="128" t="s">
        <v>220</v>
      </c>
      <c r="BP1" s="128" t="s">
        <v>221</v>
      </c>
      <c r="BQ1" s="128" t="s">
        <v>222</v>
      </c>
      <c r="BR1" s="128" t="s">
        <v>223</v>
      </c>
      <c r="BS1" s="128" t="s">
        <v>224</v>
      </c>
      <c r="BT1" s="128" t="s">
        <v>225</v>
      </c>
      <c r="BU1" s="128" t="s">
        <v>226</v>
      </c>
      <c r="BV1" s="128" t="s">
        <v>227</v>
      </c>
      <c r="BW1" s="128" t="s">
        <v>228</v>
      </c>
      <c r="BX1" s="128" t="s">
        <v>229</v>
      </c>
      <c r="BY1" s="128" t="s">
        <v>230</v>
      </c>
      <c r="BZ1" s="128" t="s">
        <v>231</v>
      </c>
      <c r="CA1" s="128" t="s">
        <v>232</v>
      </c>
      <c r="CB1" s="128" t="s">
        <v>233</v>
      </c>
      <c r="CC1" s="128" t="s">
        <v>234</v>
      </c>
      <c r="CD1" s="128" t="s">
        <v>235</v>
      </c>
      <c r="CE1" s="128" t="s">
        <v>236</v>
      </c>
      <c r="CF1" s="128" t="s">
        <v>237</v>
      </c>
      <c r="CG1" s="128" t="s">
        <v>238</v>
      </c>
      <c r="CH1" s="128" t="s">
        <v>239</v>
      </c>
      <c r="CI1" s="128" t="s">
        <v>240</v>
      </c>
      <c r="CJ1" s="128" t="s">
        <v>241</v>
      </c>
      <c r="CK1" s="128" t="s">
        <v>242</v>
      </c>
      <c r="CL1" s="128" t="s">
        <v>243</v>
      </c>
      <c r="CM1" s="128" t="s">
        <v>244</v>
      </c>
      <c r="CN1" s="128" t="s">
        <v>245</v>
      </c>
      <c r="CO1" s="128" t="s">
        <v>246</v>
      </c>
      <c r="CP1" s="128" t="s">
        <v>247</v>
      </c>
      <c r="CQ1" s="128" t="s">
        <v>248</v>
      </c>
      <c r="CR1" s="128" t="s">
        <v>249</v>
      </c>
      <c r="CS1" s="128" t="s">
        <v>250</v>
      </c>
      <c r="CT1" s="128" t="s">
        <v>251</v>
      </c>
      <c r="CU1" s="128" t="s">
        <v>252</v>
      </c>
      <c r="CV1" s="128" t="s">
        <v>253</v>
      </c>
      <c r="CW1" s="128" t="s">
        <v>254</v>
      </c>
      <c r="CX1" s="128" t="s">
        <v>255</v>
      </c>
      <c r="CY1" s="128" t="s">
        <v>256</v>
      </c>
      <c r="CZ1" s="128" t="s">
        <v>257</v>
      </c>
      <c r="DA1" s="128" t="s">
        <v>258</v>
      </c>
      <c r="DB1" s="128" t="s">
        <v>259</v>
      </c>
      <c r="DC1" s="128" t="s">
        <v>260</v>
      </c>
      <c r="DD1" s="128" t="s">
        <v>261</v>
      </c>
      <c r="DE1" s="128" t="s">
        <v>262</v>
      </c>
      <c r="DF1" s="128" t="s">
        <v>263</v>
      </c>
      <c r="DG1" s="128" t="s">
        <v>264</v>
      </c>
      <c r="DH1" s="128" t="s">
        <v>265</v>
      </c>
      <c r="DI1" s="128" t="s">
        <v>266</v>
      </c>
      <c r="DJ1" s="128" t="s">
        <v>267</v>
      </c>
      <c r="DK1" s="128" t="s">
        <v>268</v>
      </c>
      <c r="DL1" s="128" t="s">
        <v>269</v>
      </c>
      <c r="DM1" s="128" t="s">
        <v>270</v>
      </c>
      <c r="DN1" s="128" t="s">
        <v>271</v>
      </c>
      <c r="DO1" s="128" t="s">
        <v>272</v>
      </c>
      <c r="DP1" s="128" t="s">
        <v>273</v>
      </c>
      <c r="DQ1" s="128" t="s">
        <v>274</v>
      </c>
      <c r="DR1" s="128" t="s">
        <v>275</v>
      </c>
      <c r="DS1" s="128" t="s">
        <v>276</v>
      </c>
      <c r="DT1" s="128" t="s">
        <v>277</v>
      </c>
      <c r="DU1" s="128" t="s">
        <v>278</v>
      </c>
      <c r="DV1" s="128" t="s">
        <v>279</v>
      </c>
      <c r="DW1" s="128" t="s">
        <v>280</v>
      </c>
      <c r="DX1" s="128" t="s">
        <v>281</v>
      </c>
      <c r="DY1" s="128" t="s">
        <v>282</v>
      </c>
      <c r="DZ1" s="128" t="s">
        <v>283</v>
      </c>
      <c r="EA1" s="128" t="s">
        <v>284</v>
      </c>
      <c r="EB1" s="128" t="s">
        <v>285</v>
      </c>
      <c r="EC1" s="128" t="s">
        <v>286</v>
      </c>
      <c r="ED1" s="128" t="s">
        <v>287</v>
      </c>
      <c r="EE1" s="128" t="s">
        <v>288</v>
      </c>
      <c r="EF1" s="128" t="s">
        <v>289</v>
      </c>
      <c r="EG1" s="128" t="s">
        <v>290</v>
      </c>
      <c r="EH1" s="128" t="s">
        <v>291</v>
      </c>
      <c r="EI1" s="128" t="s">
        <v>292</v>
      </c>
      <c r="EJ1" s="128" t="s">
        <v>293</v>
      </c>
      <c r="EK1" s="128" t="s">
        <v>294</v>
      </c>
      <c r="EL1" s="128" t="s">
        <v>295</v>
      </c>
      <c r="EM1" s="128" t="s">
        <v>296</v>
      </c>
      <c r="EN1" s="128" t="s">
        <v>297</v>
      </c>
      <c r="EO1" s="128" t="s">
        <v>298</v>
      </c>
      <c r="EP1" s="128" t="s">
        <v>299</v>
      </c>
      <c r="EQ1" s="128" t="s">
        <v>300</v>
      </c>
      <c r="ER1" s="128" t="s">
        <v>301</v>
      </c>
      <c r="ES1" s="128" t="s">
        <v>302</v>
      </c>
      <c r="ET1" s="128" t="s">
        <v>303</v>
      </c>
      <c r="EU1" s="128" t="s">
        <v>304</v>
      </c>
      <c r="EV1" s="128" t="s">
        <v>305</v>
      </c>
      <c r="EW1" s="128" t="s">
        <v>306</v>
      </c>
      <c r="EX1" s="128" t="s">
        <v>307</v>
      </c>
      <c r="EY1" s="128" t="s">
        <v>308</v>
      </c>
      <c r="EZ1" s="128" t="s">
        <v>309</v>
      </c>
      <c r="FA1" s="128" t="s">
        <v>310</v>
      </c>
      <c r="FB1" s="128" t="s">
        <v>311</v>
      </c>
      <c r="FC1" s="128" t="s">
        <v>312</v>
      </c>
      <c r="FD1" s="128" t="s">
        <v>313</v>
      </c>
      <c r="FE1" s="128" t="s">
        <v>314</v>
      </c>
      <c r="FF1" s="128" t="s">
        <v>315</v>
      </c>
      <c r="FG1" s="128" t="s">
        <v>316</v>
      </c>
      <c r="FH1" s="128" t="s">
        <v>317</v>
      </c>
      <c r="FI1" s="128" t="s">
        <v>318</v>
      </c>
      <c r="FJ1" s="128" t="s">
        <v>319</v>
      </c>
      <c r="FK1" s="128" t="s">
        <v>320</v>
      </c>
      <c r="FL1" s="128" t="s">
        <v>321</v>
      </c>
      <c r="FM1" s="128" t="s">
        <v>322</v>
      </c>
      <c r="FN1" s="128" t="s">
        <v>323</v>
      </c>
      <c r="FO1" s="128" t="s">
        <v>324</v>
      </c>
      <c r="FP1" s="128" t="s">
        <v>325</v>
      </c>
      <c r="FQ1" s="128" t="s">
        <v>326</v>
      </c>
      <c r="FR1" s="128" t="s">
        <v>327</v>
      </c>
      <c r="FS1" s="128" t="s">
        <v>328</v>
      </c>
      <c r="FT1" s="128" t="s">
        <v>329</v>
      </c>
      <c r="FU1" s="128" t="s">
        <v>330</v>
      </c>
      <c r="FV1" s="128" t="s">
        <v>331</v>
      </c>
      <c r="FW1" s="128" t="s">
        <v>332</v>
      </c>
      <c r="FX1" s="128" t="s">
        <v>333</v>
      </c>
      <c r="FY1" s="128" t="s">
        <v>334</v>
      </c>
      <c r="FZ1" s="128" t="s">
        <v>335</v>
      </c>
      <c r="GA1" s="128" t="s">
        <v>336</v>
      </c>
      <c r="GB1" s="128" t="s">
        <v>337</v>
      </c>
      <c r="GC1" s="128" t="s">
        <v>338</v>
      </c>
      <c r="GD1" s="128" t="s">
        <v>339</v>
      </c>
      <c r="GE1" s="128" t="s">
        <v>340</v>
      </c>
      <c r="GF1" s="128" t="s">
        <v>341</v>
      </c>
      <c r="GG1" s="128" t="s">
        <v>342</v>
      </c>
      <c r="GH1" s="128" t="s">
        <v>343</v>
      </c>
      <c r="GI1" s="128" t="s">
        <v>344</v>
      </c>
      <c r="GJ1" s="128" t="s">
        <v>345</v>
      </c>
      <c r="GK1" s="128" t="s">
        <v>346</v>
      </c>
      <c r="GL1" s="128" t="s">
        <v>347</v>
      </c>
      <c r="GM1" s="128" t="s">
        <v>348</v>
      </c>
      <c r="GN1" s="128" t="s">
        <v>349</v>
      </c>
      <c r="GO1" s="128" t="s">
        <v>350</v>
      </c>
      <c r="GP1" s="128" t="s">
        <v>351</v>
      </c>
      <c r="GQ1" s="128" t="s">
        <v>352</v>
      </c>
      <c r="GR1" s="128" t="s">
        <v>353</v>
      </c>
      <c r="GS1" s="128" t="s">
        <v>354</v>
      </c>
      <c r="GT1" s="128" t="s">
        <v>355</v>
      </c>
      <c r="GU1" s="128" t="s">
        <v>356</v>
      </c>
      <c r="GV1" s="128" t="s">
        <v>357</v>
      </c>
      <c r="GW1" s="128" t="s">
        <v>358</v>
      </c>
      <c r="GX1" s="128" t="s">
        <v>359</v>
      </c>
      <c r="GY1" s="128" t="s">
        <v>360</v>
      </c>
      <c r="GZ1" s="128" t="s">
        <v>361</v>
      </c>
      <c r="HA1" s="128" t="s">
        <v>362</v>
      </c>
      <c r="HB1" s="128" t="s">
        <v>363</v>
      </c>
      <c r="HC1" s="128" t="s">
        <v>364</v>
      </c>
      <c r="HD1" s="128" t="s">
        <v>365</v>
      </c>
      <c r="HE1" s="128" t="s">
        <v>366</v>
      </c>
      <c r="HF1" s="128" t="s">
        <v>367</v>
      </c>
      <c r="HG1" s="128" t="s">
        <v>368</v>
      </c>
      <c r="HH1" s="128" t="s">
        <v>369</v>
      </c>
      <c r="HI1" s="128" t="s">
        <v>370</v>
      </c>
      <c r="HJ1" s="128" t="s">
        <v>371</v>
      </c>
      <c r="HK1" s="128" t="s">
        <v>372</v>
      </c>
      <c r="HL1" s="128" t="s">
        <v>373</v>
      </c>
      <c r="HM1" s="128" t="s">
        <v>374</v>
      </c>
      <c r="HN1" s="128" t="s">
        <v>375</v>
      </c>
      <c r="HO1" s="128" t="s">
        <v>376</v>
      </c>
      <c r="HP1" s="128" t="s">
        <v>377</v>
      </c>
      <c r="HQ1" s="128" t="s">
        <v>378</v>
      </c>
      <c r="HR1" s="128" t="s">
        <v>379</v>
      </c>
      <c r="HS1" s="128" t="s">
        <v>380</v>
      </c>
      <c r="HT1" s="128" t="s">
        <v>381</v>
      </c>
      <c r="HU1" s="128" t="s">
        <v>382</v>
      </c>
      <c r="HV1" s="128" t="s">
        <v>383</v>
      </c>
      <c r="HW1" s="128" t="s">
        <v>384</v>
      </c>
      <c r="HX1" s="128" t="s">
        <v>385</v>
      </c>
      <c r="HY1" s="128" t="s">
        <v>386</v>
      </c>
      <c r="HZ1" s="128" t="s">
        <v>387</v>
      </c>
      <c r="IA1" s="128" t="s">
        <v>388</v>
      </c>
      <c r="IB1" s="128" t="s">
        <v>389</v>
      </c>
      <c r="IC1" s="128" t="s">
        <v>390</v>
      </c>
      <c r="ID1" s="128" t="s">
        <v>391</v>
      </c>
      <c r="IE1" s="128" t="s">
        <v>392</v>
      </c>
      <c r="IF1" s="128" t="s">
        <v>393</v>
      </c>
      <c r="IG1" s="128" t="s">
        <v>394</v>
      </c>
      <c r="IH1" s="128" t="s">
        <v>395</v>
      </c>
      <c r="II1" s="128" t="s">
        <v>396</v>
      </c>
      <c r="IJ1" s="128" t="s">
        <v>397</v>
      </c>
      <c r="IK1" s="128" t="s">
        <v>398</v>
      </c>
      <c r="IL1" s="128" t="s">
        <v>399</v>
      </c>
      <c r="IM1" s="128" t="s">
        <v>400</v>
      </c>
      <c r="IN1" s="128" t="s">
        <v>401</v>
      </c>
    </row>
    <row r="2" spans="1:248" ht="9" hidden="1" customHeight="1" thickBot="1">
      <c r="A2" s="129"/>
      <c r="B2" s="130"/>
      <c r="C2" s="130"/>
      <c r="D2" s="63"/>
      <c r="E2" s="131" t="str">
        <f>IF(ISBLANK(PlFemelRus),"",PlFemelRus)</f>
        <v/>
      </c>
      <c r="F2" s="63" t="str">
        <f>IF(ISBLANK(PlNameRus),"",PlNameRus)</f>
        <v/>
      </c>
      <c r="G2" s="132" t="str">
        <f>IF(ISBLANK(PlOtchestvoRus),"",PlOtchestvoRus)</f>
        <v/>
      </c>
      <c r="H2" s="132" t="str">
        <f>IF(ISBLANK(PlFamelEngl),"",PlFamelEngl)</f>
        <v/>
      </c>
      <c r="I2" s="63" t="str">
        <f>IF(ISBLANK(PlNameEngl),"",PlNameEngl)</f>
        <v/>
      </c>
      <c r="J2" s="63" t="str">
        <f>IF(ISBLANK(PlRank1),"",PlRank1)</f>
        <v>Ch. Engineer - Ст. Механик</v>
      </c>
      <c r="K2" s="63" t="str">
        <f>IF(ISBLANK(PlRank1),"",PlRank1)</f>
        <v>Ch. Engineer - Ст. Механик</v>
      </c>
      <c r="L2" s="63" t="str">
        <f>IF(ISBLANK(PlPaspSeria),"",PlPaspSeria)</f>
        <v/>
      </c>
      <c r="M2" s="63" t="str">
        <f>IF(ISBLANK(PlPaspNum),"",PlPaspNum)</f>
        <v/>
      </c>
      <c r="N2" s="175" t="str">
        <f>IF(ISBLANK(PlSeamPaspDate),"",PlSeamPaspDate)</f>
        <v/>
      </c>
      <c r="O2" s="175" t="str">
        <f>IF(ISBLANK(PlSeamPaspExparyDate),"",PlSeamPaspExparyDate)</f>
        <v/>
      </c>
      <c r="P2" s="175" t="str">
        <f>IF(ISBLANK(Pldob),"",Pldob)</f>
        <v/>
      </c>
      <c r="Q2" s="63" t="str">
        <f>IF(ISBLANK(PlpobEngl),"",PlpobEngl)</f>
        <v/>
      </c>
      <c r="R2" s="63" t="str">
        <f>IF(ISBLANK(PlpobRus),"",PlpobRus)</f>
        <v/>
      </c>
      <c r="S2" s="63" t="str">
        <f>IF(ISBLANK(PladdressTown),"",PladdressTown)</f>
        <v/>
      </c>
      <c r="T2" s="175" t="str">
        <f>IF(ISBLANK(B171),"",B171)</f>
        <v/>
      </c>
      <c r="U2" s="175" t="str">
        <f>IF(ISBLANK(C171),"",C171)</f>
        <v/>
      </c>
      <c r="V2" s="62" t="str">
        <f>IF(ISBLANK(D171),"",D171)</f>
        <v/>
      </c>
      <c r="W2" s="62" t="str">
        <f>IF(ISBLANK(K171),"",K171)</f>
        <v/>
      </c>
      <c r="X2" s="175" t="str">
        <f>IF(ISBLANK(B172),"",B172)</f>
        <v/>
      </c>
      <c r="Y2" s="175" t="str">
        <f>IF(ISBLANK(C172),"",C172)</f>
        <v/>
      </c>
      <c r="Z2" s="62" t="str">
        <f>IF(ISBLANK(D172),"",D172)</f>
        <v/>
      </c>
      <c r="AA2" s="63" t="str">
        <f>IF(ISBLANK(K172),"",K172)</f>
        <v/>
      </c>
      <c r="AB2" s="175" t="str">
        <f>IF(ISBLANK(B173),"",B173)</f>
        <v/>
      </c>
      <c r="AC2" s="175" t="str">
        <f>IF(ISBLANK(C173),"",C173)</f>
        <v/>
      </c>
      <c r="AD2" s="63" t="str">
        <f>IF(ISBLANK(D173),"",D173)</f>
        <v/>
      </c>
      <c r="AE2" s="63" t="str">
        <f>IF(ISBLANK(K173),"",K173)</f>
        <v/>
      </c>
      <c r="AF2" s="62"/>
      <c r="AG2" s="63"/>
      <c r="AH2" s="63" t="s">
        <v>600</v>
      </c>
      <c r="AI2" s="62"/>
      <c r="AJ2" s="62"/>
      <c r="AK2" s="63" t="str">
        <f>IF(ISBLANK(PlNotes1),"",PlNotes1)</f>
        <v/>
      </c>
      <c r="AL2" s="63" t="str">
        <f>IF(ISBLANK(F171),"",F171)</f>
        <v/>
      </c>
      <c r="AM2" s="63" t="str">
        <f>IF(ISBLANK(G171),"",G171)</f>
        <v/>
      </c>
      <c r="AN2" s="63" t="str">
        <f>IF(ISBLANK(H171),"",H171)</f>
        <v/>
      </c>
      <c r="AO2" s="63" t="str">
        <f>IF(ISBLANK(I171),"",I171)</f>
        <v/>
      </c>
      <c r="AP2" s="63" t="str">
        <f>IF(ISBLANK(J171),"",J171)</f>
        <v/>
      </c>
      <c r="AQ2" s="62" t="s">
        <v>402</v>
      </c>
      <c r="AR2" s="63" t="str">
        <f>IF(ISBLANK(M171),"",CONCATENATE(M171,AL27,P171))</f>
        <v/>
      </c>
      <c r="AS2" s="63" t="str">
        <f>IF(ISBLANK(P171),"",P171)</f>
        <v/>
      </c>
      <c r="AT2" s="176" t="str">
        <f>IF(ISBLANK(PlGrPasExpiryDate),"",PlGrPasExpiryDate)</f>
        <v/>
      </c>
      <c r="AU2" s="63" t="str">
        <f>IF(ISBLANK(PlGrPasPlaceIisue),"",CONCATENATE(PlGrPasPlaceIisue,AL27,M95))</f>
        <v/>
      </c>
      <c r="AV2" s="63" t="str">
        <f>IF(ISBLANK(PlNameEngl),"",PlNameEngl)</f>
        <v/>
      </c>
      <c r="AW2" s="63" t="str">
        <f>IF(ISBLANK(PlFamelEngl),"",PlFamelEngl)</f>
        <v/>
      </c>
      <c r="AX2" s="63" t="str">
        <f>IF(ISBLANK(PlpobRus),"",PlpobRus)</f>
        <v/>
      </c>
      <c r="AY2" s="63" t="str">
        <f>IF(ISBLANK(PlpobEngl),"",PlpobEngl)</f>
        <v/>
      </c>
      <c r="AZ2" s="63" t="str">
        <f>IF(ISBLANK(PlIntPasSeria),"",PlIntPasSeria)</f>
        <v/>
      </c>
      <c r="BA2" s="63" t="str">
        <f>IF(ISBLANK(PlIntPasNum),"",PlIntPasNum)</f>
        <v/>
      </c>
      <c r="BB2" s="175" t="str">
        <f>IF(ISBLANK(PlIntPasDate),"",PlIntPasDate)</f>
        <v/>
      </c>
      <c r="BC2" s="175" t="str">
        <f>IF(ISBLANK(PlIntPasExpiryDate),"",PlIntPasExpiryDate)</f>
        <v/>
      </c>
      <c r="BD2" s="63" t="str">
        <f>IF(ISBLANK(PlIntPasPlaceIisue),"",CONCATENATE(PlIntPasPlaceIisue,AL27,M96))</f>
        <v/>
      </c>
      <c r="BE2" s="63" t="str">
        <f>IF(ISBLANK(PlSex),"",PlSex)</f>
        <v/>
      </c>
      <c r="BF2" s="63" t="str">
        <f>IF(ISBLANK(O65),"",CONCATENATE(T65,AL27,O65,AL27,Q65,AL27,S65))</f>
        <v/>
      </c>
      <c r="BG2" s="63" t="str">
        <f>IF(ISBLANK(PlNationality),"",PlNationality)</f>
        <v/>
      </c>
      <c r="BH2" s="63" t="str">
        <f>IF(ISBLANK(PlEnglTestPst),"",PlEnglTestPst)</f>
        <v>None</v>
      </c>
      <c r="BI2" s="63" t="str">
        <f>IF(ISBLANK(F172),"",F172)</f>
        <v/>
      </c>
      <c r="BJ2" s="63" t="str">
        <f>IF(ISBLANK(G172),"",G172)</f>
        <v/>
      </c>
      <c r="BK2" s="63" t="str">
        <f>IF(ISBLANK(H172),"",H172)</f>
        <v/>
      </c>
      <c r="BL2" s="63" t="str">
        <f>IF(ISBLANK(I172),"",I172)</f>
        <v/>
      </c>
      <c r="BM2" s="63" t="str">
        <f>IF(ISBLANK(J172),"",J172)</f>
        <v/>
      </c>
      <c r="BN2" s="63"/>
      <c r="BO2" s="63" t="str">
        <f>IF(ISBLANK(M172),"",CONCATENATE(M172,AL27,P172))</f>
        <v/>
      </c>
      <c r="BP2" s="175" t="str">
        <f>IF(ISBLANK(L157),"",L157)</f>
        <v/>
      </c>
      <c r="BQ2" s="63" t="str">
        <f>IF(ISBLANK(G173),"",G173)</f>
        <v/>
      </c>
      <c r="BR2" s="63" t="str">
        <f>IF(ISBLANK(F173),"",F173)</f>
        <v/>
      </c>
      <c r="BS2" s="63" t="str">
        <f>IF(ISBLANK(H173),"",H173)</f>
        <v/>
      </c>
      <c r="BT2" s="63" t="str">
        <f>IF(ISBLANK(I173),"",I173)</f>
        <v/>
      </c>
      <c r="BU2" s="63" t="str">
        <f>IF(ISBLANK(J173),"",J173)</f>
        <v/>
      </c>
      <c r="BV2" s="62" t="s">
        <v>402</v>
      </c>
      <c r="BW2" s="63" t="str">
        <f>IF(ISBLANK(M173),"",CONCATENATE(M173,AL27,P173))</f>
        <v/>
      </c>
      <c r="BX2" s="62" t="str">
        <f>IF(ISBLANK(L158),"",L158)</f>
        <v/>
      </c>
      <c r="BY2" s="175" t="str">
        <f>IF(ISBLANK(B170),"",B170)</f>
        <v/>
      </c>
      <c r="BZ2" s="175" t="str">
        <f>IF(ISBLANK(C170),"",C170)</f>
        <v/>
      </c>
      <c r="CA2" s="63" t="str">
        <f>IF(ISBLANK(D170),"",D170)</f>
        <v/>
      </c>
      <c r="CB2" s="63" t="str">
        <f>IF(ISBLANK(G170),"",G170)</f>
        <v/>
      </c>
      <c r="CC2" s="63" t="str">
        <f>IF(ISBLANK(F170),"",F170)</f>
        <v/>
      </c>
      <c r="CD2" s="63" t="str">
        <f>IF(ISBLANK(H170),"",H170)</f>
        <v/>
      </c>
      <c r="CE2" s="63" t="str">
        <f>IF(ISBLANK(I170),"",I170)</f>
        <v/>
      </c>
      <c r="CF2" s="63" t="str">
        <f>IF(ISBLANK(J170),"",J170)</f>
        <v/>
      </c>
      <c r="CG2" s="63" t="str">
        <f>IF(ISBLANK(K170),"",K170)</f>
        <v/>
      </c>
      <c r="CH2" s="62" t="s">
        <v>402</v>
      </c>
      <c r="CI2" s="63" t="str">
        <f>IF(ISBLANK(M170),"",CONCATENATE(M170,AL27,P170))</f>
        <v/>
      </c>
      <c r="CJ2" s="175" t="str">
        <f>IF(ISBLANK(B169),"",B169)</f>
        <v/>
      </c>
      <c r="CK2" s="175" t="str">
        <f>IF(ISBLANK(C169),"",C169)</f>
        <v/>
      </c>
      <c r="CL2" s="63" t="str">
        <f>IF(ISBLANK(D169),"",D169)</f>
        <v/>
      </c>
      <c r="CM2" s="63" t="str">
        <f>IF(ISBLANK(G169),"",G169)</f>
        <v/>
      </c>
      <c r="CN2" s="63" t="str">
        <f>IF(ISBLANK(F169),"",F169)</f>
        <v/>
      </c>
      <c r="CO2" s="63" t="str">
        <f>IF(ISBLANK(H169),"",H169)</f>
        <v/>
      </c>
      <c r="CP2" s="63" t="str">
        <f>IF(ISBLANK(I169),"",I169)</f>
        <v/>
      </c>
      <c r="CQ2" s="63" t="str">
        <f>IF(ISBLANK(J169),"",J169)</f>
        <v/>
      </c>
      <c r="CR2" s="63" t="str">
        <f>IF(ISBLANK(K169),"",K169)</f>
        <v/>
      </c>
      <c r="CS2" s="62" t="s">
        <v>402</v>
      </c>
      <c r="CT2" s="63" t="str">
        <f>IF(ISBLANK(M169),"",CONCATENATE(M169,AL27,P169))</f>
        <v/>
      </c>
      <c r="CU2" s="63" t="s">
        <v>601</v>
      </c>
      <c r="CV2" s="63"/>
      <c r="CW2" s="63" t="str">
        <f>IF(ISBLANK(PlEducation),"",CONCATENATE(PlEducation,AL27,PlEducation_2))</f>
        <v/>
      </c>
      <c r="CX2" s="63" t="str">
        <f>IF(ISBLANK(PlDiplomType),"",PlDiplomType)</f>
        <v/>
      </c>
      <c r="CY2" s="62"/>
      <c r="CZ2" s="63" t="str">
        <f>IF(ISBLANK(PlCertOfCompNum),"",PlCertOfCompNum)</f>
        <v/>
      </c>
      <c r="DA2" s="63" t="str">
        <f>IF(ISBLANK(PlDiplomIssuedBy),"",PlDiplomIssuedBy)</f>
        <v/>
      </c>
      <c r="DB2" s="175" t="str">
        <f>IF(ISBLANK(PlCertOfCompIsuedDate),"",PlCertOfCompIsuedDate)</f>
        <v/>
      </c>
      <c r="DC2" s="175" t="str">
        <f>IF(ISBLANK(PlCertOfCompAt),"",PlCertOfCompAt)</f>
        <v/>
      </c>
      <c r="DD2" s="63" t="str">
        <f>IF(ISBLANK(I102),"",I102)</f>
        <v/>
      </c>
      <c r="DE2" s="63" t="str">
        <f>IF(ISBLANK(PlEndorsmentNum),"None",PlEndorsmentNum)</f>
        <v>None</v>
      </c>
      <c r="DF2" s="175" t="str">
        <f>IF(ISBLANK(L102),"",L102)</f>
        <v/>
      </c>
      <c r="DG2" s="62" t="str">
        <f>IF(ISBLANK(M102),"",M102)</f>
        <v/>
      </c>
      <c r="DH2" s="175" t="str">
        <f>IF(ISBLANK(PlEndorsmentAt),"",PlEndorsmentAt)</f>
        <v/>
      </c>
      <c r="DI2" s="63" t="str">
        <f>IF(ISBLANK(I104),"",I104)</f>
        <v/>
      </c>
      <c r="DJ2" s="63" t="str">
        <f>IF(ISBLANK(K104),"None",K104)</f>
        <v>None</v>
      </c>
      <c r="DK2" s="176" t="str">
        <f>IF(ISBLANK(L104),"",L104)</f>
        <v/>
      </c>
      <c r="DL2" s="63" t="str">
        <f>IF(ISBLANK(M104),"",M104)</f>
        <v/>
      </c>
      <c r="DM2" s="175" t="str">
        <f>IF(ISBLANK(O104),"",O104)</f>
        <v/>
      </c>
      <c r="DN2" s="63" t="str">
        <f>IF(ISBLANK(I106),"",I106)</f>
        <v/>
      </c>
      <c r="DO2" s="63" t="str">
        <f>IF(ISBLANK(K106),"None",K106)</f>
        <v>None</v>
      </c>
      <c r="DP2" s="176" t="str">
        <f>IF(ISBLANK(L106),"",L106)</f>
        <v/>
      </c>
      <c r="DQ2" s="63" t="str">
        <f>IF(ISBLANK(M106),"",M106)</f>
        <v/>
      </c>
      <c r="DR2" s="175" t="str">
        <f>IF(ISBLANK(O106),"",O106)</f>
        <v/>
      </c>
      <c r="DS2" s="62"/>
      <c r="DT2" s="63" t="str">
        <f>IF(ISBLANK(PlRadarNum),"None",PlRadarNum)</f>
        <v>None</v>
      </c>
      <c r="DU2" s="175" t="str">
        <f>IF(ISBLANK(PlRadarDateIssued),"",PlRadarDateIssued)</f>
        <v/>
      </c>
      <c r="DV2" s="63" t="str">
        <f>IF(ISBLANK(M110),"",M110)</f>
        <v/>
      </c>
      <c r="DW2" s="62"/>
      <c r="DX2" s="63" t="str">
        <f>IF(ISBLANK(PlSarpNum),"None",PlSarpNum)</f>
        <v>None</v>
      </c>
      <c r="DY2" s="175" t="str">
        <f>IF(ISBLANK(PlSarpDateIssued),"",PlSarpDateIssued)</f>
        <v/>
      </c>
      <c r="DZ2" s="63" t="str">
        <f>IF(ISBLANK(M111),"",M111)</f>
        <v/>
      </c>
      <c r="EA2" s="63"/>
      <c r="EB2" s="63" t="str">
        <f>IF(ISBLANK(PlHAZMATNumber),"None",CONCATENATE(PlHAZMATNumber,AD29,PlHazmatUSA1Number))</f>
        <v>None</v>
      </c>
      <c r="EC2" s="175" t="str">
        <f>IF(ISBLANK(PlHAZMATDataIssued),"",PlHAZMATDataIssued)</f>
        <v/>
      </c>
      <c r="ED2" s="62"/>
      <c r="EE2" s="63" t="str">
        <f>IF(ISBLANK(PlDiplom2Num),"None",PlDiplom2Num)</f>
        <v>None</v>
      </c>
      <c r="EF2" s="63" t="str">
        <f>IF(ISBLANK(PlDiplom2Type),"",PlDiplom2Type)</f>
        <v/>
      </c>
      <c r="EG2" s="63" t="str">
        <f>IF(ISBLANK(M103),"",M103)</f>
        <v/>
      </c>
      <c r="EH2" s="175" t="str">
        <f>IF(ISBLANK(L103),"",L103)</f>
        <v/>
      </c>
      <c r="EI2" s="175" t="str">
        <f>IF(ISBLANK(PlDiplom2At),"",PlDiplom2At)</f>
        <v/>
      </c>
      <c r="EJ2" s="63" t="str">
        <f>IF(ISBLANK(PlFireFightLifesaivRescueNum),"None",PlFireFightLifesaivRescueNum)</f>
        <v>None</v>
      </c>
      <c r="EK2" s="175" t="str">
        <f>IF(ISBLANK(PlFireFightLifesaivRescueDateIssued),"",PlFireFightLifesaivRescueDateIssued)</f>
        <v/>
      </c>
      <c r="EL2" s="63" t="str">
        <f>IF(ISBLANK(PlSert115Number),"None",PlSert115Number)</f>
        <v>None</v>
      </c>
      <c r="EM2" s="175" t="str">
        <f>IF(ISBLANK(PlSert115DateIssued),"",PlSert115DateIssued)</f>
        <v/>
      </c>
      <c r="EN2" s="63" t="str">
        <f>IF(ISBLANK(M128),"",M128)</f>
        <v/>
      </c>
      <c r="EO2" s="63" t="str">
        <f>IF(ISBLANK(M124),"",M124)</f>
        <v/>
      </c>
      <c r="EP2" s="63" t="str">
        <f>IF(ISBLANK(PlGenTankSafetNum101),"None",PlGenTankSafetNum101)</f>
        <v>None</v>
      </c>
      <c r="EQ2" s="175" t="str">
        <f>IF(ISBLANK(PlGenTank101DateIssued),"",PlGenTank101DateIssued)</f>
        <v/>
      </c>
      <c r="ER2" s="63" t="str">
        <f>IF(ISBLANK(M129),"",M129)</f>
        <v/>
      </c>
      <c r="ES2" s="63" t="str">
        <f>IF(ISBLANK(PlTankNum102),"None",PlTankNum102)</f>
        <v>None</v>
      </c>
      <c r="ET2" s="175" t="str">
        <f>IF(ISBLANK(PlTank102DateIssued),"",PlTank102DateIssued)</f>
        <v/>
      </c>
      <c r="EU2" s="63" t="str">
        <f>IF(ISBLANK(PlCOWInertGasNum),"None",PlCOWInertGasNum)</f>
        <v>None</v>
      </c>
      <c r="EV2" s="175" t="str">
        <f>IF(ISBLANK(PlCOWInertGasDateIssued),"",PlCOWInertGasDateIssued)</f>
        <v/>
      </c>
      <c r="EW2" s="63" t="str">
        <f>IF(ISBLANK(M131),"",M131)</f>
        <v/>
      </c>
      <c r="EX2" s="63" t="str">
        <f>IF(ISBLANK(PlChemTankAdvancedNum),"None",PlChemTankAdvancedNum)</f>
        <v>None</v>
      </c>
      <c r="EY2" s="175" t="str">
        <f>IF(ISBLANK(PlChemTankAdvancedDateIssued),"",PlChemTankAdvancedDateIssued)</f>
        <v/>
      </c>
      <c r="EZ2" s="63" t="str">
        <f>IF(ISBLANK(M132),"",M132)</f>
        <v/>
      </c>
      <c r="FA2" s="63" t="str">
        <f>IF(ISBLANK(PlGasTankAdvancedNum),"None",PlGasTankAdvancedNum)</f>
        <v>None</v>
      </c>
      <c r="FB2" s="175" t="str">
        <f>IF(ISBLANK(PlGasTankAdvancedDateIssued),"",PlGasTankAdvancedDateIssued)</f>
        <v/>
      </c>
      <c r="FC2" s="63" t="str">
        <f>IF(ISBLANK(M133),"",M133)</f>
        <v/>
      </c>
      <c r="FD2" s="63" t="s">
        <v>532</v>
      </c>
      <c r="FE2" s="175" t="s">
        <v>402</v>
      </c>
      <c r="FF2" s="62"/>
      <c r="FG2" s="63" t="s">
        <v>532</v>
      </c>
      <c r="FH2" s="176" t="s">
        <v>402</v>
      </c>
      <c r="FI2" s="62"/>
      <c r="FJ2" s="175" t="str">
        <f>IF(ISBLANK(PlMedSertDateIssued),"",PlMedSertDateIssued)</f>
        <v/>
      </c>
      <c r="FK2" s="62"/>
      <c r="FL2" s="63" t="str">
        <f>IF(ISBLANK(PlNotes2),"",PlNotes2)</f>
        <v/>
      </c>
      <c r="FM2" s="175"/>
      <c r="FN2" s="62"/>
      <c r="FO2" s="63" t="str">
        <f>CONCATENATE(C71,AL27,E71,AL27,G71,AL29,C73,AL27,E73,AL27,G73)</f>
        <v xml:space="preserve">, ,  / , , </v>
      </c>
      <c r="FP2" s="62"/>
      <c r="FQ2" s="63"/>
      <c r="FR2" s="63"/>
      <c r="FS2" s="63" t="str">
        <f>IF(ISBLANK(PlSert123Number),"None",PlSert123Number)</f>
        <v>None</v>
      </c>
      <c r="FT2" s="175" t="str">
        <f>IF(ISBLANK(PlSert123DateIssued),"",PlSert123DateIssued)</f>
        <v/>
      </c>
      <c r="FU2" s="63" t="str">
        <f>IF(ISBLANK(M125),"",M125)</f>
        <v/>
      </c>
      <c r="FV2" s="63" t="str">
        <f>IF(ISBLANK(PlSert203Number),"None",PlSert203Number)</f>
        <v>None</v>
      </c>
      <c r="FW2" s="175" t="str">
        <f>IF(ISBLANK(PlSert203DateIssued),"",PlSert203DateIssued)</f>
        <v/>
      </c>
      <c r="FX2" s="63" t="str">
        <f>IF(ISBLANK(M126),"",M126)</f>
        <v/>
      </c>
      <c r="FY2" s="63" t="str">
        <f>IF(ISBLANK(PlSert114Number),"None",PlSert114Number)</f>
        <v>None</v>
      </c>
      <c r="FZ2" s="175" t="str">
        <f>IF(ISBLANK(PlSert114DateIssued),"",PlSert114DateIssued)</f>
        <v/>
      </c>
      <c r="GA2" s="63" t="str">
        <f>IF(ISBLANK(M127),"",M127)</f>
        <v/>
      </c>
      <c r="GB2" s="63" t="str">
        <f>IF(ISBLANK(PlSert115Number),"None",PlSert115Number)</f>
        <v>None</v>
      </c>
      <c r="GC2" s="175" t="str">
        <f>IF(ISBLANK(PlSert115DateIssued),"",PlSert115DateIssued)</f>
        <v/>
      </c>
      <c r="GD2" s="63" t="str">
        <f>IF(ISBLANK(PlMinWages),"",PlMinWages)</f>
        <v/>
      </c>
      <c r="GE2" s="63" t="str">
        <f>IF(ISBLANK(PlDesaredWages),"",PlDesaredWages)</f>
        <v/>
      </c>
      <c r="GF2" s="63" t="str">
        <f>IF(ISBLANK(PlMaritalStat),"",PlMaritalStat)</f>
        <v/>
      </c>
      <c r="GG2" s="63">
        <f>IF(ISBLANK(AD76),"",AD76)</f>
        <v>0</v>
      </c>
      <c r="GH2" s="63" t="str">
        <f>IF(ISBLANK(PlCitizenship),"",PlCitizenship)</f>
        <v/>
      </c>
      <c r="GI2" s="63" t="str">
        <f xml:space="preserve"> PladdressRegion &amp; "  " &amp; PlPostal_Code</f>
        <v xml:space="preserve">  </v>
      </c>
      <c r="GJ2" s="63" t="str">
        <f xml:space="preserve"> PladdressStret &amp; "(проживан) , Прописка: " &amp; PlPropiskaSteet</f>
        <v xml:space="preserve">(проживан) , Прописка: </v>
      </c>
      <c r="GK2" s="63" t="str">
        <f>CONCATENATE(Pltel2,AL29,PlMobil_Tlf,AL29,PlEmail,AL29,M20)</f>
        <v xml:space="preserve"> /  /  / </v>
      </c>
      <c r="GL2" s="63" t="str">
        <f>CONCATENATE(PlEmail,M20)</f>
        <v/>
      </c>
      <c r="GM2" s="63" t="str">
        <f>IF(ISBLANK(Plthers),"",Plthers)</f>
        <v>None</v>
      </c>
      <c r="GN2" s="63" t="str">
        <f>CONCATENATE(H93,AL27,M93)</f>
        <v xml:space="preserve">, </v>
      </c>
      <c r="GO2" s="63" t="str">
        <f>CONCATENATE(H94,AL27,PlFlagRegistrSeamBook,AL27,M94)</f>
        <v xml:space="preserve">, , </v>
      </c>
      <c r="GP2" s="63" t="str">
        <f>IF(ISBLANK(PlSeamansBookSeria),"",PlSeamansBookSeria)</f>
        <v/>
      </c>
      <c r="GQ2" s="63" t="str">
        <f>IF(ISBLANK(PlSeamansBookNumber),"",PlSeamansBookNumber)</f>
        <v/>
      </c>
      <c r="GR2" s="175" t="str">
        <f>IF(ISBLANK(PlSeamBookDate),"",PlSeamBookDate)</f>
        <v/>
      </c>
      <c r="GS2" s="175" t="str">
        <f>IF(ISBLANK(PlSeamBookDateEXPARY),"",PlSeamBookDateEXPARY)</f>
        <v/>
      </c>
      <c r="GT2" s="63" t="str">
        <f>IF(ISBLANK(H94),"",H94)</f>
        <v/>
      </c>
      <c r="GU2" s="63" t="str">
        <f>IF(ISBLANK(PlGrPasSeria),"",PlGrPasSeria)</f>
        <v/>
      </c>
      <c r="GV2" s="63" t="str">
        <f>IF(ISBLANK(PlGrPasNum),"",PlGrPasNum)</f>
        <v/>
      </c>
      <c r="GW2" s="175" t="str">
        <f>IF(ISBLANK(PlGrPasDate),"",PlGrPasDate)</f>
        <v/>
      </c>
      <c r="GX2" s="63" t="str">
        <f>IF(ISBLANK(PlHairs_color),"",PlHairs_color)</f>
        <v>Dark</v>
      </c>
      <c r="GY2" s="63" t="str">
        <f>IF(ISBLANK(PlEyes_color),"",PlEyes_color)</f>
        <v>Brown</v>
      </c>
      <c r="GZ2" s="177" t="str">
        <f>IF(ISBLANK(PlHeight),"",PlHeight)</f>
        <v/>
      </c>
      <c r="HA2" s="178" t="str">
        <f>IF(ISBLANK(PlWeight),"",PlWeight)</f>
        <v/>
      </c>
      <c r="HB2" s="178" t="str">
        <f>IF(ISBLANK(E32),"",E32)</f>
        <v/>
      </c>
      <c r="HC2" s="178" t="str">
        <f>IF(ISBLANK(PlHead_Size),"",PlHead_Size)</f>
        <v/>
      </c>
      <c r="HD2" s="178" t="str">
        <f>IF(ISBLANK(PlClothes_Size),"",PlClothes_Size)</f>
        <v/>
      </c>
      <c r="HE2" s="191" t="s">
        <v>927</v>
      </c>
      <c r="HF2" s="175" t="str">
        <f>IF(ISBLANK(PlUSAVisaDateValid),"",PlUSAVisaDateValid)</f>
        <v/>
      </c>
      <c r="HG2" s="178" t="s">
        <v>928</v>
      </c>
      <c r="HH2" s="175" t="str">
        <f>IF(ISBLANK(PlSchengenVisaDateValid),"",PlSchengenVisaDateValid)</f>
        <v/>
      </c>
      <c r="HI2" s="63" t="str">
        <f>IF(ISBLANK(PlEndLiberiaNumber),"None",PlEndLiberiaNumber)</f>
        <v>None</v>
      </c>
      <c r="HJ2" s="175" t="str">
        <f>IF(ISBLANK(PlEndLiberiaDateIssued),"",PlEndLiberiaDateIssued)</f>
        <v/>
      </c>
      <c r="HK2" s="175" t="str">
        <f>IF(ISBLANK(O116),"",O116)</f>
        <v/>
      </c>
      <c r="HL2" s="63" t="str">
        <f>IF(ISBLANK(K122),"None",K122)</f>
        <v>None</v>
      </c>
      <c r="HM2" s="175" t="str">
        <f>IF(ISBLANK(L122),"",L122)</f>
        <v/>
      </c>
      <c r="HN2" s="175" t="str">
        <f>IF(ISBLANK(Valid_Untill),"",Valid_Untill)</f>
        <v/>
      </c>
      <c r="HO2" s="63" t="str">
        <f>IF(ISBLANK(PlEndCyprusNumber),"None",PlEndCyprusNumber)</f>
        <v>None</v>
      </c>
      <c r="HP2" s="175" t="str">
        <f>IF(ISBLANK(PlEndCyprusDateIssued),"",PlEndCyprusDateIssued)</f>
        <v/>
      </c>
      <c r="HQ2" s="175" t="str">
        <f>IF(ISBLANK(O114),"",O114)</f>
        <v/>
      </c>
      <c r="HR2" s="63" t="str">
        <f>IF(ISBLANK(K117),"None",K117)</f>
        <v>None</v>
      </c>
      <c r="HS2" s="175" t="str">
        <f>IF(ISBLANK(L117),"",L117)</f>
        <v/>
      </c>
      <c r="HT2" s="175" t="str">
        <f>IF(ISBLANK(O117),"",O117)</f>
        <v/>
      </c>
      <c r="HU2" s="63" t="str">
        <f>IF(ISBLANK(K119),"None",K119)</f>
        <v>None</v>
      </c>
      <c r="HV2" s="175" t="str">
        <f>IF(ISBLANK(L119),"",L119)</f>
        <v/>
      </c>
      <c r="HW2" s="175" t="str">
        <f>IF(ISBLANK(O119),"",O119)</f>
        <v/>
      </c>
      <c r="HX2" s="63" t="str">
        <f>IF(ISBLANK(K120),"None",K120)</f>
        <v>None</v>
      </c>
      <c r="HY2" s="175" t="str">
        <f>IF(ISBLANK(L120),"",L120)</f>
        <v/>
      </c>
      <c r="HZ2" s="175" t="str">
        <f>IF(ISBLANK(O120),"",O120)</f>
        <v/>
      </c>
      <c r="IA2" s="63" t="str">
        <f>IF(ISBLANK(K121),"None",K121)</f>
        <v>None</v>
      </c>
      <c r="IB2" s="176" t="str">
        <f>IF(ISBLANK(L121),"",L121)</f>
        <v/>
      </c>
      <c r="IC2" s="176" t="str">
        <f>IF(ISBLANK(O121),"",O121)</f>
        <v/>
      </c>
      <c r="ID2" s="63" t="str">
        <f>IF(ISBLANK(K118),"None",K118)</f>
        <v>None</v>
      </c>
      <c r="IE2" s="176" t="str">
        <f>IF(ISBLANK(L118),"",L118)</f>
        <v/>
      </c>
      <c r="IF2" s="176" t="str">
        <f>IF(ISBLANK(O118),"",O118)</f>
        <v/>
      </c>
      <c r="IG2" s="63" t="str">
        <f>IF(ISBLANK(PlEndStVinsentNumber),"None",PlEndStVinsentNumber)</f>
        <v>None</v>
      </c>
      <c r="IH2" s="176" t="str">
        <f>IF(ISBLANK(PlEndStVinsentDateIssued),"",PlEndStVinsentDateIssued)</f>
        <v/>
      </c>
      <c r="II2" s="176" t="str">
        <f>IF(ISBLANK(O115),"",O115)</f>
        <v/>
      </c>
      <c r="IJ2" s="176" t="str">
        <f>IF(ISBLANK(PlVichDateIssued),"",PlVichDateIssued)</f>
        <v/>
      </c>
      <c r="IK2" s="176" t="str">
        <f>IF(ISBLANK(PlDifhteriaVaccinationDateIssued),"",PlDifhteriaVaccinationDateIssued)</f>
        <v/>
      </c>
      <c r="IL2" s="176" t="str">
        <f>IF(ISBLANK(PlYellowFeverVaccinationDateIssued),"",PlYellowFeverVaccinationDateIssued)</f>
        <v/>
      </c>
      <c r="IM2" s="63" t="s">
        <v>402</v>
      </c>
      <c r="IN2" s="63" t="str">
        <f>IF(ISBLANK(M134),"",M134)</f>
        <v/>
      </c>
    </row>
    <row r="3" spans="1:248" ht="63" customHeight="1" thickBot="1">
      <c r="A3" s="196"/>
      <c r="B3" s="361" t="s">
        <v>1441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99"/>
      <c r="P3" s="199"/>
      <c r="Q3" s="198"/>
      <c r="R3" s="198"/>
      <c r="S3" s="198"/>
      <c r="T3" s="199"/>
      <c r="U3" s="199"/>
      <c r="V3" s="197"/>
      <c r="W3" s="197"/>
      <c r="X3" s="199"/>
      <c r="Y3" s="199"/>
      <c r="Z3" s="197"/>
      <c r="AA3" s="198"/>
      <c r="AB3" s="199"/>
      <c r="AC3" s="199"/>
      <c r="AD3" s="198"/>
      <c r="AE3" s="198"/>
      <c r="AF3" s="197"/>
      <c r="AG3" s="198"/>
      <c r="AH3" s="198"/>
      <c r="AI3" s="197"/>
      <c r="AJ3" s="197"/>
      <c r="AK3" s="198"/>
      <c r="AL3" s="198"/>
      <c r="AM3" s="198"/>
      <c r="AN3" s="198"/>
      <c r="AO3" s="198"/>
      <c r="AP3" s="198"/>
      <c r="AQ3" s="197"/>
      <c r="AR3" s="198"/>
      <c r="AS3" s="198"/>
      <c r="AT3" s="200"/>
      <c r="AU3" s="198"/>
      <c r="AV3" s="198"/>
      <c r="AW3" s="198"/>
      <c r="AX3" s="198"/>
      <c r="AY3" s="198"/>
      <c r="AZ3" s="198"/>
      <c r="BA3" s="198"/>
      <c r="BB3" s="199"/>
      <c r="BC3" s="199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9"/>
      <c r="BQ3" s="198"/>
      <c r="BR3" s="198"/>
      <c r="BS3" s="198"/>
      <c r="BT3" s="198"/>
      <c r="BU3" s="198"/>
      <c r="BV3" s="197"/>
      <c r="BW3" s="198"/>
      <c r="BX3" s="197"/>
      <c r="BY3" s="199"/>
      <c r="BZ3" s="199"/>
      <c r="CA3" s="198"/>
      <c r="CB3" s="198"/>
      <c r="CC3" s="198"/>
      <c r="CD3" s="198"/>
      <c r="CE3" s="198"/>
      <c r="CF3" s="198"/>
      <c r="CG3" s="198"/>
      <c r="CH3" s="197"/>
      <c r="CI3" s="198"/>
      <c r="CJ3" s="199"/>
      <c r="CK3" s="199"/>
      <c r="CL3" s="198"/>
      <c r="CM3" s="198"/>
      <c r="CN3" s="198"/>
      <c r="CO3" s="198"/>
      <c r="CP3" s="198"/>
      <c r="CQ3" s="198"/>
      <c r="CR3" s="198"/>
      <c r="CS3" s="197"/>
      <c r="CT3" s="198"/>
      <c r="CU3" s="198"/>
      <c r="CV3" s="198"/>
      <c r="CW3" s="198"/>
      <c r="CX3" s="198"/>
      <c r="CY3" s="197"/>
      <c r="CZ3" s="198"/>
      <c r="DA3" s="198"/>
      <c r="DB3" s="199"/>
      <c r="DC3" s="199"/>
      <c r="DD3" s="198"/>
      <c r="DE3" s="198"/>
      <c r="DF3" s="199"/>
      <c r="DG3" s="197"/>
      <c r="DH3" s="199"/>
      <c r="DI3" s="198"/>
      <c r="DJ3" s="198"/>
      <c r="DK3" s="200"/>
      <c r="DL3" s="198"/>
      <c r="DM3" s="199"/>
      <c r="DN3" s="198"/>
      <c r="DO3" s="198"/>
      <c r="DP3" s="200"/>
      <c r="DQ3" s="198"/>
      <c r="DR3" s="199"/>
      <c r="DS3" s="197"/>
      <c r="DT3" s="198"/>
      <c r="DU3" s="199"/>
      <c r="DV3" s="198"/>
      <c r="DW3" s="197"/>
      <c r="DX3" s="198"/>
      <c r="DY3" s="199"/>
      <c r="DZ3" s="198"/>
      <c r="EA3" s="198"/>
      <c r="EB3" s="198"/>
      <c r="EC3" s="199"/>
      <c r="ED3" s="197"/>
      <c r="EE3" s="198"/>
      <c r="EF3" s="198"/>
      <c r="EG3" s="198"/>
      <c r="EH3" s="199"/>
      <c r="EI3" s="199"/>
      <c r="EJ3" s="198"/>
      <c r="EK3" s="199"/>
      <c r="EL3" s="198"/>
      <c r="EM3" s="199"/>
      <c r="EN3" s="198"/>
      <c r="EO3" s="198"/>
      <c r="EP3" s="198"/>
      <c r="EQ3" s="199"/>
      <c r="ER3" s="198"/>
      <c r="ES3" s="198"/>
      <c r="ET3" s="199"/>
      <c r="EU3" s="198"/>
      <c r="EV3" s="199"/>
      <c r="EW3" s="198"/>
      <c r="EX3" s="198"/>
      <c r="EY3" s="199"/>
      <c r="EZ3" s="198"/>
      <c r="FA3" s="198"/>
      <c r="FB3" s="199"/>
      <c r="FC3" s="198"/>
      <c r="FD3" s="198"/>
      <c r="FE3" s="199"/>
      <c r="FF3" s="197"/>
      <c r="FG3" s="198"/>
      <c r="FH3" s="200"/>
      <c r="FI3" s="197"/>
      <c r="FJ3" s="199"/>
      <c r="FK3" s="197"/>
      <c r="FL3" s="198"/>
      <c r="FM3" s="199"/>
      <c r="FN3" s="197"/>
      <c r="FO3" s="198"/>
      <c r="FP3" s="197"/>
      <c r="FQ3" s="198"/>
      <c r="FR3" s="198"/>
      <c r="FS3" s="198"/>
      <c r="FT3" s="199"/>
      <c r="FU3" s="198"/>
      <c r="FV3" s="198"/>
      <c r="FW3" s="199"/>
      <c r="FX3" s="198"/>
      <c r="FY3" s="198"/>
      <c r="FZ3" s="199"/>
      <c r="GA3" s="198"/>
      <c r="GB3" s="198"/>
      <c r="GC3" s="199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9"/>
      <c r="GS3" s="199"/>
      <c r="GT3" s="198"/>
      <c r="GU3" s="198"/>
      <c r="GV3" s="198"/>
      <c r="GW3" s="199"/>
      <c r="GX3" s="198"/>
      <c r="GY3" s="198"/>
      <c r="GZ3" s="201"/>
      <c r="HA3" s="202"/>
      <c r="HB3" s="202"/>
      <c r="HC3" s="202"/>
      <c r="HD3" s="202"/>
      <c r="HE3" s="203"/>
      <c r="HF3" s="199"/>
      <c r="HG3" s="202"/>
      <c r="HH3" s="199"/>
      <c r="HI3" s="198"/>
      <c r="HJ3" s="199"/>
      <c r="HK3" s="199"/>
      <c r="HL3" s="198"/>
      <c r="HM3" s="199"/>
      <c r="HN3" s="199"/>
      <c r="HO3" s="198"/>
      <c r="HP3" s="199"/>
      <c r="HQ3" s="199"/>
      <c r="HR3" s="198"/>
      <c r="HS3" s="199"/>
      <c r="HT3" s="199"/>
      <c r="HU3" s="198"/>
      <c r="HV3" s="199"/>
      <c r="HW3" s="199"/>
      <c r="HX3" s="198"/>
      <c r="HY3" s="199"/>
      <c r="HZ3" s="199"/>
      <c r="IA3" s="198"/>
      <c r="IB3" s="200"/>
      <c r="IC3" s="200"/>
      <c r="ID3" s="198"/>
      <c r="IE3" s="200"/>
      <c r="IF3" s="200"/>
      <c r="IG3" s="198"/>
      <c r="IH3" s="200"/>
      <c r="II3" s="200"/>
      <c r="IJ3" s="200"/>
      <c r="IK3" s="200"/>
      <c r="IL3" s="200"/>
      <c r="IM3" s="198"/>
      <c r="IN3" s="198"/>
    </row>
    <row r="4" spans="1:248" ht="14" thickTop="1">
      <c r="A4" s="1"/>
      <c r="B4" s="362" t="s">
        <v>1442</v>
      </c>
      <c r="C4" s="362"/>
      <c r="D4" s="2"/>
      <c r="E4" s="2" t="s">
        <v>1440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8"/>
      <c r="AA4" s="8"/>
      <c r="AB4" s="8"/>
      <c r="AC4" s="8"/>
      <c r="AD4" s="8"/>
      <c r="AE4" s="8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248" ht="53.25" customHeight="1" thickBot="1">
      <c r="A5" s="6"/>
      <c r="B5" s="7"/>
      <c r="C5" s="8"/>
      <c r="D5" s="8"/>
      <c r="E5" s="8"/>
      <c r="F5" s="8"/>
      <c r="G5" s="7" t="s">
        <v>1252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8"/>
      <c r="AA5" s="8"/>
      <c r="AB5" s="8"/>
      <c r="AC5" s="8"/>
      <c r="AD5" s="8"/>
      <c r="AE5" s="8"/>
      <c r="AF5" s="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248" ht="19.5" customHeight="1" thickTop="1" thickBot="1">
      <c r="A6" s="6"/>
      <c r="B6" s="10" t="s">
        <v>1253</v>
      </c>
      <c r="C6" s="8"/>
      <c r="D6" s="8"/>
      <c r="E6" s="8"/>
      <c r="F6" s="8"/>
      <c r="G6" s="8"/>
      <c r="H6" s="8"/>
      <c r="I6" s="8"/>
      <c r="J6" s="192" t="s">
        <v>748</v>
      </c>
      <c r="K6" s="192"/>
      <c r="L6" s="192"/>
      <c r="M6" s="19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8"/>
      <c r="AA6" s="8"/>
      <c r="AB6" s="8"/>
      <c r="AC6" s="8"/>
      <c r="AD6" s="8"/>
      <c r="AE6" s="8"/>
      <c r="AF6" s="8"/>
      <c r="AG6" s="8"/>
      <c r="AH6" s="11" t="s">
        <v>1411</v>
      </c>
      <c r="AI6" s="11"/>
      <c r="AJ6" s="11" t="s">
        <v>805</v>
      </c>
      <c r="AK6" s="11" t="s">
        <v>1419</v>
      </c>
      <c r="AL6" s="12"/>
      <c r="AM6" s="11" t="s">
        <v>1410</v>
      </c>
      <c r="AN6" s="11"/>
      <c r="AO6" s="89"/>
      <c r="AP6" s="97" t="s">
        <v>1425</v>
      </c>
      <c r="AQ6" s="97" t="s">
        <v>1317</v>
      </c>
      <c r="AR6" s="97" t="s">
        <v>786</v>
      </c>
      <c r="AS6" s="97"/>
      <c r="AT6" s="97" t="s">
        <v>1403</v>
      </c>
      <c r="AU6" s="97" t="s">
        <v>1407</v>
      </c>
      <c r="AV6" s="11" t="s">
        <v>1406</v>
      </c>
      <c r="AW6" s="11" t="s">
        <v>1408</v>
      </c>
      <c r="AX6" s="11" t="s">
        <v>1405</v>
      </c>
      <c r="AY6" s="11" t="s">
        <v>1409</v>
      </c>
      <c r="AZ6" s="45" t="s">
        <v>1404</v>
      </c>
      <c r="BA6" s="47" t="s">
        <v>13</v>
      </c>
      <c r="BB6" s="47"/>
      <c r="BC6" s="47" t="s">
        <v>21</v>
      </c>
      <c r="BD6" s="47" t="s">
        <v>22</v>
      </c>
      <c r="BE6" s="47"/>
      <c r="BF6" s="47" t="s">
        <v>41</v>
      </c>
      <c r="BG6" s="58" t="s">
        <v>42</v>
      </c>
      <c r="BH6" s="58"/>
      <c r="BI6" s="47" t="s">
        <v>1342</v>
      </c>
      <c r="BJ6" s="47" t="s">
        <v>408</v>
      </c>
      <c r="BK6" s="47" t="s">
        <v>851</v>
      </c>
      <c r="BL6" s="47" t="s">
        <v>852</v>
      </c>
      <c r="BM6" s="47" t="s">
        <v>859</v>
      </c>
      <c r="BN6" s="4"/>
      <c r="BO6" s="4"/>
    </row>
    <row r="7" spans="1:248" ht="13.5" customHeight="1" thickTop="1">
      <c r="A7" s="6"/>
      <c r="B7" s="8"/>
      <c r="C7" s="8"/>
      <c r="D7" s="8"/>
      <c r="E7" s="8"/>
      <c r="F7" s="8"/>
      <c r="G7" s="8"/>
      <c r="H7" s="144"/>
      <c r="I7" s="144"/>
      <c r="J7" s="193" t="s">
        <v>1349</v>
      </c>
      <c r="K7" s="192"/>
      <c r="L7" s="192"/>
      <c r="M7" s="19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8"/>
      <c r="AA7" s="8"/>
      <c r="AB7" s="8"/>
      <c r="AC7" s="8"/>
      <c r="AD7" s="8"/>
      <c r="AE7" s="8"/>
      <c r="AF7" s="8"/>
      <c r="AG7" s="8"/>
      <c r="AH7" s="134" t="s">
        <v>1236</v>
      </c>
      <c r="AI7" s="135">
        <v>1</v>
      </c>
      <c r="AJ7" s="138" t="s">
        <v>759</v>
      </c>
      <c r="AK7" s="14" t="str">
        <f>CONCATENATE(A65,B65,C65,AL9,E65,AL9,G65)</f>
        <v xml:space="preserve">1Husband:, , </v>
      </c>
      <c r="AL7" s="15"/>
      <c r="AM7" s="13" t="s">
        <v>1020</v>
      </c>
      <c r="AN7" s="13"/>
      <c r="AO7" s="98" t="s">
        <v>741</v>
      </c>
      <c r="AP7" s="96" t="s">
        <v>410</v>
      </c>
      <c r="AQ7" s="98">
        <v>1</v>
      </c>
      <c r="AR7" s="98">
        <v>1</v>
      </c>
      <c r="AS7" s="99" t="s">
        <v>760</v>
      </c>
      <c r="AT7" s="99" t="s">
        <v>1367</v>
      </c>
      <c r="AU7" s="99" t="s">
        <v>1351</v>
      </c>
      <c r="AV7" s="13" t="s">
        <v>1395</v>
      </c>
      <c r="AW7" s="13" t="s">
        <v>1352</v>
      </c>
      <c r="AX7" s="13" t="s">
        <v>1398</v>
      </c>
      <c r="AY7" s="13" t="s">
        <v>1353</v>
      </c>
      <c r="AZ7" s="41" t="s">
        <v>1401</v>
      </c>
      <c r="BA7" s="48">
        <v>1</v>
      </c>
      <c r="BB7" s="51"/>
      <c r="BC7" s="51" t="s">
        <v>14</v>
      </c>
      <c r="BD7" s="13" t="s">
        <v>584</v>
      </c>
      <c r="BE7" s="17" t="s">
        <v>604</v>
      </c>
      <c r="BF7" s="13" t="s">
        <v>43</v>
      </c>
      <c r="BG7" s="60" t="s">
        <v>96</v>
      </c>
      <c r="BH7" s="60" t="s">
        <v>720</v>
      </c>
      <c r="BI7" s="59" t="s">
        <v>97</v>
      </c>
      <c r="BJ7" s="59" t="s">
        <v>532</v>
      </c>
      <c r="BK7" s="59" t="s">
        <v>848</v>
      </c>
      <c r="BL7" s="59" t="s">
        <v>853</v>
      </c>
      <c r="BM7" s="17" t="s">
        <v>860</v>
      </c>
      <c r="BN7" s="4"/>
      <c r="BO7" s="4"/>
    </row>
    <row r="8" spans="1:248" ht="17" thickBot="1">
      <c r="A8" s="6"/>
      <c r="B8" s="8"/>
      <c r="C8" s="8"/>
      <c r="D8" s="16" t="s">
        <v>1254</v>
      </c>
      <c r="E8" s="284" t="s">
        <v>884</v>
      </c>
      <c r="F8" s="285"/>
      <c r="G8" s="286"/>
      <c r="H8" s="145" t="str">
        <f>IF(LEN(PlRank1)&gt;0,"","*")</f>
        <v/>
      </c>
      <c r="I8" s="145" t="e">
        <f>IF(ISBLANK(PlRank1),"*",LOOKUP(PlRank1,AH7:AH32,AJ7:AJ32))</f>
        <v>#N/A</v>
      </c>
      <c r="J8" s="195" t="s">
        <v>817</v>
      </c>
      <c r="K8" s="195"/>
      <c r="L8" s="195"/>
      <c r="M8" s="19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8"/>
      <c r="AA8" s="8"/>
      <c r="AB8" s="8"/>
      <c r="AC8" s="8"/>
      <c r="AD8" s="8"/>
      <c r="AE8" s="8"/>
      <c r="AF8" s="8"/>
      <c r="AG8" s="8"/>
      <c r="AH8" s="134" t="s">
        <v>868</v>
      </c>
      <c r="AI8" s="134">
        <v>2</v>
      </c>
      <c r="AJ8" s="139" t="s">
        <v>759</v>
      </c>
      <c r="AK8" s="18" t="str">
        <f>CONCATENATE(A67,B67,C67,AL11,E67,AL11,G67)</f>
        <v xml:space="preserve">2 Mother: , , </v>
      </c>
      <c r="AL8" s="15"/>
      <c r="AM8" s="17" t="s">
        <v>1021</v>
      </c>
      <c r="AN8" s="17" t="s">
        <v>605</v>
      </c>
      <c r="AO8" s="101" t="s">
        <v>741</v>
      </c>
      <c r="AP8" s="100" t="s">
        <v>409</v>
      </c>
      <c r="AQ8" s="101">
        <v>2</v>
      </c>
      <c r="AR8" s="101">
        <v>1</v>
      </c>
      <c r="AS8" s="104" t="s">
        <v>765</v>
      </c>
      <c r="AT8" s="104" t="s">
        <v>1412</v>
      </c>
      <c r="AU8" s="102" t="s">
        <v>1385</v>
      </c>
      <c r="AV8" s="17" t="s">
        <v>1396</v>
      </c>
      <c r="AW8" s="17" t="s">
        <v>1386</v>
      </c>
      <c r="AX8" s="17" t="s">
        <v>1396</v>
      </c>
      <c r="AY8" s="17" t="s">
        <v>1390</v>
      </c>
      <c r="AZ8" s="42" t="s">
        <v>1358</v>
      </c>
      <c r="BA8" s="49" t="s">
        <v>560</v>
      </c>
      <c r="BB8" s="49" t="s">
        <v>604</v>
      </c>
      <c r="BC8" s="49" t="s">
        <v>15</v>
      </c>
      <c r="BD8" s="17" t="s">
        <v>585</v>
      </c>
      <c r="BE8" s="17" t="s">
        <v>604</v>
      </c>
      <c r="BF8" s="17" t="s">
        <v>44</v>
      </c>
      <c r="BG8" s="42" t="s">
        <v>1035</v>
      </c>
      <c r="BH8" s="42" t="s">
        <v>721</v>
      </c>
      <c r="BI8" s="17"/>
      <c r="BJ8" s="17" t="s">
        <v>533</v>
      </c>
      <c r="BK8" s="17" t="s">
        <v>849</v>
      </c>
      <c r="BL8" s="17" t="s">
        <v>854</v>
      </c>
      <c r="BM8" s="17" t="s">
        <v>861</v>
      </c>
      <c r="BN8" s="4"/>
      <c r="BO8" s="4"/>
    </row>
    <row r="9" spans="1:248" ht="18" thickTop="1" thickBot="1">
      <c r="A9" s="6"/>
      <c r="B9" s="8"/>
      <c r="C9" s="8"/>
      <c r="D9" s="16" t="s">
        <v>1255</v>
      </c>
      <c r="E9" s="270"/>
      <c r="F9" s="271"/>
      <c r="G9" s="272"/>
      <c r="H9" s="145" t="str">
        <f>IF(LEN(PlFamelEngl)&gt;0,"","*")</f>
        <v>*</v>
      </c>
      <c r="I9" s="145"/>
      <c r="J9" s="195" t="s">
        <v>818</v>
      </c>
      <c r="K9" s="195"/>
      <c r="L9" s="195"/>
      <c r="M9" s="19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8"/>
      <c r="AG9" s="8"/>
      <c r="AH9" s="134" t="s">
        <v>460</v>
      </c>
      <c r="AI9" s="134">
        <v>3</v>
      </c>
      <c r="AJ9" s="139" t="s">
        <v>759</v>
      </c>
      <c r="AK9" s="18" t="str">
        <f>CONCATENATE(A69,B69,C69,AL13,E69,AL13,G69)</f>
        <v xml:space="preserve">3 Father: , , </v>
      </c>
      <c r="AL9" s="15" t="s">
        <v>407</v>
      </c>
      <c r="AM9" s="17" t="s">
        <v>1022</v>
      </c>
      <c r="AN9" s="17" t="s">
        <v>606</v>
      </c>
      <c r="AO9" s="101" t="s">
        <v>741</v>
      </c>
      <c r="AP9" s="100" t="s">
        <v>405</v>
      </c>
      <c r="AQ9" s="101">
        <v>3</v>
      </c>
      <c r="AR9" s="101">
        <v>1</v>
      </c>
      <c r="AS9" s="104" t="s">
        <v>766</v>
      </c>
      <c r="AT9" s="104" t="s">
        <v>1413</v>
      </c>
      <c r="AU9" s="89"/>
      <c r="AV9" s="17" t="s">
        <v>1397</v>
      </c>
      <c r="AW9" s="17" t="s">
        <v>1387</v>
      </c>
      <c r="AX9" s="17" t="s">
        <v>1357</v>
      </c>
      <c r="AY9" s="17" t="s">
        <v>1391</v>
      </c>
      <c r="AZ9" s="46" t="s">
        <v>1402</v>
      </c>
      <c r="BA9" s="49" t="s">
        <v>561</v>
      </c>
      <c r="BB9" s="49" t="s">
        <v>604</v>
      </c>
      <c r="BC9" s="49" t="s">
        <v>16</v>
      </c>
      <c r="BD9" s="17" t="s">
        <v>587</v>
      </c>
      <c r="BE9" s="17" t="s">
        <v>604</v>
      </c>
      <c r="BF9" s="17" t="s">
        <v>45</v>
      </c>
      <c r="BG9" s="42" t="s">
        <v>1041</v>
      </c>
      <c r="BH9" s="42" t="s">
        <v>722</v>
      </c>
      <c r="BI9" s="17" t="s">
        <v>994</v>
      </c>
      <c r="BJ9" s="17" t="s">
        <v>534</v>
      </c>
      <c r="BK9" s="17" t="s">
        <v>850</v>
      </c>
      <c r="BL9" s="17"/>
      <c r="BM9" s="17" t="s">
        <v>862</v>
      </c>
      <c r="BN9" s="4"/>
      <c r="BO9" s="4"/>
    </row>
    <row r="10" spans="1:248" ht="18" thickTop="1" thickBot="1">
      <c r="A10" s="6"/>
      <c r="B10" s="8"/>
      <c r="C10" s="8"/>
      <c r="D10" s="16" t="s">
        <v>1256</v>
      </c>
      <c r="E10" s="270"/>
      <c r="F10" s="271"/>
      <c r="G10" s="272"/>
      <c r="H10" s="145" t="str">
        <f>IF(LEN(PlNameEngl)&gt;0,"","*")</f>
        <v>*</v>
      </c>
      <c r="I10" s="145"/>
      <c r="J10" s="194" t="s">
        <v>747</v>
      </c>
      <c r="K10" s="194"/>
      <c r="L10" s="194"/>
      <c r="M10" s="19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8"/>
      <c r="AA10" s="8"/>
      <c r="AB10" s="8"/>
      <c r="AC10" s="8"/>
      <c r="AD10" s="8"/>
      <c r="AE10" s="8"/>
      <c r="AF10" s="8"/>
      <c r="AG10" s="8"/>
      <c r="AH10" s="134" t="s">
        <v>461</v>
      </c>
      <c r="AI10" s="134">
        <v>4</v>
      </c>
      <c r="AJ10" s="139" t="s">
        <v>759</v>
      </c>
      <c r="AK10" s="18" t="str">
        <f>CONCATENATE(A71,B71,C71,AL15,E71,AL15,G71)</f>
        <v xml:space="preserve">4 Child: , , </v>
      </c>
      <c r="AL10" s="15"/>
      <c r="AM10" s="17" t="s">
        <v>1023</v>
      </c>
      <c r="AN10" s="17"/>
      <c r="AO10" s="101" t="s">
        <v>746</v>
      </c>
      <c r="AP10" s="100" t="s">
        <v>411</v>
      </c>
      <c r="AQ10" s="101">
        <v>4</v>
      </c>
      <c r="AR10" s="101">
        <v>1</v>
      </c>
      <c r="AS10" s="104" t="s">
        <v>768</v>
      </c>
      <c r="AT10" s="104" t="s">
        <v>1414</v>
      </c>
      <c r="AU10" s="89"/>
      <c r="AV10" s="19" t="s">
        <v>1356</v>
      </c>
      <c r="AW10" s="17" t="s">
        <v>1388</v>
      </c>
      <c r="AX10" s="17" t="s">
        <v>1356</v>
      </c>
      <c r="AY10" s="17" t="s">
        <v>1392</v>
      </c>
      <c r="AZ10" s="4"/>
      <c r="BA10" s="49" t="s">
        <v>562</v>
      </c>
      <c r="BB10" s="49" t="s">
        <v>604</v>
      </c>
      <c r="BC10" s="49" t="s">
        <v>23</v>
      </c>
      <c r="BD10" s="17" t="s">
        <v>586</v>
      </c>
      <c r="BE10" s="17" t="s">
        <v>604</v>
      </c>
      <c r="BF10" s="17" t="s">
        <v>46</v>
      </c>
      <c r="BG10" s="42" t="s">
        <v>1045</v>
      </c>
      <c r="BH10" s="42" t="s">
        <v>723</v>
      </c>
      <c r="BI10" s="17" t="s">
        <v>1004</v>
      </c>
      <c r="BJ10" s="17" t="s">
        <v>535</v>
      </c>
      <c r="BK10" s="17"/>
      <c r="BL10" s="17"/>
      <c r="BM10" s="17" t="s">
        <v>863</v>
      </c>
      <c r="BN10" s="4"/>
      <c r="BO10" s="4"/>
    </row>
    <row r="11" spans="1:248" ht="18" thickTop="1" thickBot="1">
      <c r="A11" s="6"/>
      <c r="B11" s="8"/>
      <c r="C11" s="8"/>
      <c r="D11" s="16" t="s">
        <v>749</v>
      </c>
      <c r="E11" s="287"/>
      <c r="F11" s="288"/>
      <c r="G11" s="289"/>
      <c r="H11" s="145" t="str">
        <f>IF(LEN(PlOtchestvoEngl)&gt;0,"","*")</f>
        <v>*</v>
      </c>
      <c r="I11" s="145"/>
      <c r="J11" s="194" t="s">
        <v>34</v>
      </c>
      <c r="K11" s="194"/>
      <c r="L11" s="194"/>
      <c r="M11" s="194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8"/>
      <c r="AA11" s="8"/>
      <c r="AB11" s="8"/>
      <c r="AC11" s="8"/>
      <c r="AD11" s="8"/>
      <c r="AE11" s="8"/>
      <c r="AF11" s="8"/>
      <c r="AG11" s="8"/>
      <c r="AH11" s="134" t="s">
        <v>1237</v>
      </c>
      <c r="AI11" s="134">
        <v>5</v>
      </c>
      <c r="AJ11" s="139" t="s">
        <v>759</v>
      </c>
      <c r="AK11" s="18" t="str">
        <f>CONCATENATE(A73,B73,C73,AL17,E73,AL17,G73)</f>
        <v xml:space="preserve">5 Child: , , </v>
      </c>
      <c r="AL11" s="15" t="s">
        <v>407</v>
      </c>
      <c r="AM11" s="17" t="s">
        <v>1024</v>
      </c>
      <c r="AN11" s="17"/>
      <c r="AO11" s="101" t="s">
        <v>743</v>
      </c>
      <c r="AP11" s="100" t="s">
        <v>412</v>
      </c>
      <c r="AQ11" s="101">
        <v>5</v>
      </c>
      <c r="AR11" s="101">
        <v>2</v>
      </c>
      <c r="AS11" s="104" t="s">
        <v>767</v>
      </c>
      <c r="AT11" s="104" t="s">
        <v>1415</v>
      </c>
      <c r="AU11" s="89"/>
      <c r="AV11" s="4"/>
      <c r="AW11" s="19" t="s">
        <v>1389</v>
      </c>
      <c r="AX11" s="17" t="s">
        <v>1399</v>
      </c>
      <c r="AY11" s="17" t="s">
        <v>1393</v>
      </c>
      <c r="AZ11" s="4"/>
      <c r="BA11" s="49" t="s">
        <v>972</v>
      </c>
      <c r="BB11" s="49" t="s">
        <v>604</v>
      </c>
      <c r="BC11" s="49" t="s">
        <v>17</v>
      </c>
      <c r="BD11" s="17" t="s">
        <v>588</v>
      </c>
      <c r="BE11" s="17" t="s">
        <v>604</v>
      </c>
      <c r="BF11" s="17" t="s">
        <v>47</v>
      </c>
      <c r="BG11" s="42" t="s">
        <v>1054</v>
      </c>
      <c r="BH11" s="42" t="s">
        <v>724</v>
      </c>
      <c r="BI11" s="17"/>
      <c r="BJ11" s="17" t="s">
        <v>536</v>
      </c>
      <c r="BK11" s="17"/>
      <c r="BL11" s="17"/>
      <c r="BM11" s="17" t="s">
        <v>532</v>
      </c>
      <c r="BN11" s="4"/>
      <c r="BO11" s="4"/>
    </row>
    <row r="12" spans="1:248" ht="18" thickTop="1" thickBot="1">
      <c r="A12" s="6"/>
      <c r="B12" s="8"/>
      <c r="C12" s="8"/>
      <c r="D12" s="16" t="s">
        <v>1257</v>
      </c>
      <c r="E12" s="298"/>
      <c r="F12" s="299"/>
      <c r="G12" s="8" t="s">
        <v>0</v>
      </c>
      <c r="H12" s="8"/>
      <c r="I12" s="8"/>
      <c r="J12" s="145" t="str">
        <f>IF(LEN(Pldob)&gt;0,"","*")</f>
        <v>*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8"/>
      <c r="AA12" s="8"/>
      <c r="AB12" s="8"/>
      <c r="AC12" s="8"/>
      <c r="AD12" s="8"/>
      <c r="AE12" s="8"/>
      <c r="AF12" s="8"/>
      <c r="AG12" s="8"/>
      <c r="AH12" s="134" t="s">
        <v>477</v>
      </c>
      <c r="AI12" s="134">
        <v>6</v>
      </c>
      <c r="AJ12" s="139" t="s">
        <v>759</v>
      </c>
      <c r="AK12" s="18" t="str">
        <f>CONCATENATE(A75,B75,C75,AL19,E75,AL19,G75)</f>
        <v xml:space="preserve">6 Child: , , </v>
      </c>
      <c r="AL12" s="15"/>
      <c r="AM12" s="17" t="s">
        <v>1025</v>
      </c>
      <c r="AN12" s="17"/>
      <c r="AO12" s="101" t="s">
        <v>743</v>
      </c>
      <c r="AP12" s="100" t="s">
        <v>406</v>
      </c>
      <c r="AQ12" s="101">
        <v>6</v>
      </c>
      <c r="AR12" s="101">
        <v>2</v>
      </c>
      <c r="AS12" s="104" t="s">
        <v>761</v>
      </c>
      <c r="AT12" s="104" t="s">
        <v>1416</v>
      </c>
      <c r="AU12" s="89"/>
      <c r="AV12" s="4"/>
      <c r="AW12" s="4"/>
      <c r="AX12" s="17" t="s">
        <v>1400</v>
      </c>
      <c r="AY12" s="19" t="s">
        <v>1394</v>
      </c>
      <c r="AZ12" s="4"/>
      <c r="BA12" s="49" t="s">
        <v>981</v>
      </c>
      <c r="BB12" s="49" t="s">
        <v>604</v>
      </c>
      <c r="BC12" s="49" t="s">
        <v>18</v>
      </c>
      <c r="BD12" s="17" t="s">
        <v>589</v>
      </c>
      <c r="BE12" s="17" t="s">
        <v>604</v>
      </c>
      <c r="BF12" s="17" t="s">
        <v>48</v>
      </c>
      <c r="BG12" s="42" t="s">
        <v>1071</v>
      </c>
      <c r="BH12" s="42" t="s">
        <v>725</v>
      </c>
      <c r="BI12" s="17" t="s">
        <v>99</v>
      </c>
      <c r="BJ12" s="17" t="s">
        <v>537</v>
      </c>
      <c r="BK12" s="17"/>
      <c r="BL12" s="17"/>
      <c r="BM12" s="17" t="s">
        <v>929</v>
      </c>
      <c r="BN12" s="4"/>
      <c r="BO12" s="4"/>
    </row>
    <row r="13" spans="1:248" ht="18" thickTop="1" thickBot="1">
      <c r="A13" s="6"/>
      <c r="B13" s="8"/>
      <c r="C13" s="8"/>
      <c r="D13" s="16" t="s">
        <v>750</v>
      </c>
      <c r="E13" s="300"/>
      <c r="F13" s="301"/>
      <c r="G13" s="301"/>
      <c r="H13" s="301"/>
      <c r="I13" s="301"/>
      <c r="J13" s="302"/>
      <c r="K13" s="145" t="str">
        <f>IF(LEN(PlpobEngl)&gt;0,"","*")</f>
        <v>*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8"/>
      <c r="AA13" s="8"/>
      <c r="AB13" s="8"/>
      <c r="AC13" s="8"/>
      <c r="AD13" s="8"/>
      <c r="AE13" s="8"/>
      <c r="AF13" s="8"/>
      <c r="AG13" s="8"/>
      <c r="AH13" s="134" t="s">
        <v>926</v>
      </c>
      <c r="AI13" s="134">
        <v>7</v>
      </c>
      <c r="AJ13" s="139" t="s">
        <v>759</v>
      </c>
      <c r="AK13" s="18" t="str">
        <f>CONCATENATE(A77,B77,C77,AL21,E77,AL21,G77)</f>
        <v xml:space="preserve">7 Brother: , , </v>
      </c>
      <c r="AL13" s="15" t="s">
        <v>407</v>
      </c>
      <c r="AM13" s="17" t="s">
        <v>1026</v>
      </c>
      <c r="AN13" s="17"/>
      <c r="AO13" s="101"/>
      <c r="AP13" s="100" t="s">
        <v>413</v>
      </c>
      <c r="AQ13" s="101">
        <v>7</v>
      </c>
      <c r="AR13" s="101">
        <v>6</v>
      </c>
      <c r="AS13" s="104" t="s">
        <v>762</v>
      </c>
      <c r="AT13" s="104" t="s">
        <v>1417</v>
      </c>
      <c r="AU13" s="89"/>
      <c r="AV13" s="4"/>
      <c r="AW13" s="4"/>
      <c r="AX13" s="126" t="s">
        <v>764</v>
      </c>
      <c r="AY13" s="4"/>
      <c r="AZ13" s="4"/>
      <c r="BA13" s="49">
        <v>2</v>
      </c>
      <c r="BB13" s="49"/>
      <c r="BC13" s="49" t="s">
        <v>19</v>
      </c>
      <c r="BD13" s="17" t="s">
        <v>590</v>
      </c>
      <c r="BE13" s="17" t="s">
        <v>604</v>
      </c>
      <c r="BF13" s="17" t="s">
        <v>49</v>
      </c>
      <c r="BG13" s="42" t="s">
        <v>1082</v>
      </c>
      <c r="BH13" s="42" t="s">
        <v>726</v>
      </c>
      <c r="BI13" s="17" t="s">
        <v>984</v>
      </c>
      <c r="BJ13" s="17" t="s">
        <v>538</v>
      </c>
      <c r="BK13" s="17"/>
      <c r="BL13" s="17"/>
      <c r="BM13" s="17" t="s">
        <v>860</v>
      </c>
      <c r="BN13" s="4"/>
      <c r="BO13" s="4"/>
    </row>
    <row r="14" spans="1:248" ht="18" thickTop="1" thickBot="1">
      <c r="A14" s="6"/>
      <c r="B14" s="8"/>
      <c r="C14" s="8"/>
      <c r="D14" s="16"/>
      <c r="E14" s="8" t="s">
        <v>1258</v>
      </c>
      <c r="F14" s="8"/>
      <c r="G14" s="8"/>
      <c r="H14" s="8"/>
      <c r="I14" s="8"/>
      <c r="J14" s="8"/>
      <c r="K14" s="8"/>
      <c r="L14" s="8"/>
      <c r="M14" s="8"/>
      <c r="N14" s="8"/>
      <c r="O14" s="87"/>
      <c r="P14" s="8"/>
      <c r="Q14" s="8"/>
      <c r="R14" s="8"/>
      <c r="S14" s="8"/>
      <c r="T14" s="8"/>
      <c r="U14" s="8"/>
      <c r="V14" s="8"/>
      <c r="W14" s="8"/>
      <c r="X14" s="8"/>
      <c r="Y14" s="9"/>
      <c r="Z14" s="8"/>
      <c r="AA14" s="8"/>
      <c r="AB14" s="8"/>
      <c r="AC14" s="8"/>
      <c r="AD14" s="8"/>
      <c r="AE14" s="8"/>
      <c r="AF14" s="8"/>
      <c r="AG14" s="8"/>
      <c r="AH14" s="134" t="s">
        <v>869</v>
      </c>
      <c r="AI14" s="134">
        <v>8</v>
      </c>
      <c r="AJ14" s="139" t="s">
        <v>759</v>
      </c>
      <c r="AK14" s="18" t="str">
        <f>CONCATENATE(A79,B79,C79,AL23,E79,AL23,G79)</f>
        <v xml:space="preserve">8 Brother: , , </v>
      </c>
      <c r="AL14" s="15"/>
      <c r="AM14" s="17" t="s">
        <v>1027</v>
      </c>
      <c r="AN14" s="17"/>
      <c r="AO14" s="101" t="s">
        <v>740</v>
      </c>
      <c r="AP14" s="101" t="s">
        <v>414</v>
      </c>
      <c r="AQ14" s="101">
        <v>8</v>
      </c>
      <c r="AR14" s="101">
        <v>6</v>
      </c>
      <c r="AS14" s="104" t="s">
        <v>841</v>
      </c>
      <c r="AT14" s="102" t="s">
        <v>1418</v>
      </c>
      <c r="AU14" s="89"/>
      <c r="AV14" s="4"/>
      <c r="AW14" s="4"/>
      <c r="AX14" s="4"/>
      <c r="AY14" s="4"/>
      <c r="AZ14" s="4"/>
      <c r="BA14" s="49" t="s">
        <v>801</v>
      </c>
      <c r="BB14" s="49" t="s">
        <v>604</v>
      </c>
      <c r="BC14" s="49" t="s">
        <v>20</v>
      </c>
      <c r="BD14" s="17" t="s">
        <v>591</v>
      </c>
      <c r="BE14" s="17" t="s">
        <v>604</v>
      </c>
      <c r="BF14" s="17" t="s">
        <v>50</v>
      </c>
      <c r="BG14" s="42" t="s">
        <v>1095</v>
      </c>
      <c r="BH14" s="42" t="s">
        <v>727</v>
      </c>
      <c r="BI14" s="17" t="s">
        <v>123</v>
      </c>
      <c r="BJ14" s="17" t="s">
        <v>539</v>
      </c>
      <c r="BK14" s="17"/>
      <c r="BL14" s="17"/>
      <c r="BM14" s="17" t="s">
        <v>930</v>
      </c>
      <c r="BN14" s="4"/>
      <c r="BO14" s="4"/>
    </row>
    <row r="15" spans="1:248" ht="17" thickTop="1">
      <c r="A15" s="6"/>
      <c r="B15" s="8"/>
      <c r="C15" s="8"/>
      <c r="D15" s="16" t="s">
        <v>1259</v>
      </c>
      <c r="E15" s="270"/>
      <c r="F15" s="272"/>
      <c r="G15" s="87" t="str">
        <f>IF(LEN(PladdressRegion)&gt;0,"","*")</f>
        <v>*</v>
      </c>
      <c r="H15" s="8"/>
      <c r="I15" s="4"/>
      <c r="J15" s="44"/>
      <c r="K15" s="16" t="s">
        <v>752</v>
      </c>
      <c r="L15" s="270"/>
      <c r="M15" s="271"/>
      <c r="N15" s="8" t="s">
        <v>1439</v>
      </c>
      <c r="O15" s="87" t="str">
        <f>IF(LEN(PlMinWages)&gt;0,"","*")</f>
        <v>*</v>
      </c>
      <c r="P15" s="8"/>
      <c r="Q15" s="8"/>
      <c r="R15" s="8"/>
      <c r="S15" s="8"/>
      <c r="T15" s="8"/>
      <c r="U15" s="8"/>
      <c r="V15" s="8"/>
      <c r="W15" s="8"/>
      <c r="X15" s="8"/>
      <c r="Y15" s="9"/>
      <c r="Z15" s="8"/>
      <c r="AA15" s="8"/>
      <c r="AB15" s="8"/>
      <c r="AC15" s="8"/>
      <c r="AD15" s="8"/>
      <c r="AE15" s="8"/>
      <c r="AF15" s="8"/>
      <c r="AG15" s="8"/>
      <c r="AH15" s="134" t="s">
        <v>478</v>
      </c>
      <c r="AI15" s="134">
        <v>9</v>
      </c>
      <c r="AJ15" s="139" t="s">
        <v>808</v>
      </c>
      <c r="AK15" s="18" t="str">
        <f>CONCATENATE(A81,B81,C81,AL25,E81,AL25,G81)</f>
        <v xml:space="preserve">9 Sister: , , </v>
      </c>
      <c r="AL15" s="15" t="s">
        <v>407</v>
      </c>
      <c r="AM15" s="17" t="s">
        <v>1028</v>
      </c>
      <c r="AN15" s="17" t="s">
        <v>607</v>
      </c>
      <c r="AO15" s="101" t="s">
        <v>742</v>
      </c>
      <c r="AP15" s="101" t="s">
        <v>415</v>
      </c>
      <c r="AQ15" s="101">
        <v>9</v>
      </c>
      <c r="AR15" s="101">
        <v>3</v>
      </c>
      <c r="AS15" s="104" t="s">
        <v>842</v>
      </c>
      <c r="AT15" s="89"/>
      <c r="AU15" s="89"/>
      <c r="AV15" s="4"/>
      <c r="AW15" s="4"/>
      <c r="AX15" s="4"/>
      <c r="AY15" s="4"/>
      <c r="AZ15" s="4"/>
      <c r="BA15" s="49" t="s">
        <v>800</v>
      </c>
      <c r="BB15" s="49" t="s">
        <v>604</v>
      </c>
      <c r="BC15" s="49"/>
      <c r="BD15" s="17" t="s">
        <v>592</v>
      </c>
      <c r="BE15" s="17" t="s">
        <v>604</v>
      </c>
      <c r="BF15" s="17" t="s">
        <v>51</v>
      </c>
      <c r="BG15" s="42" t="s">
        <v>1097</v>
      </c>
      <c r="BH15" s="42" t="s">
        <v>728</v>
      </c>
      <c r="BI15" s="17" t="s">
        <v>98</v>
      </c>
      <c r="BJ15" s="17" t="s">
        <v>540</v>
      </c>
      <c r="BK15" s="17"/>
      <c r="BL15" s="17"/>
      <c r="BM15" s="17" t="s">
        <v>931</v>
      </c>
      <c r="BN15" s="4"/>
      <c r="BO15" s="4"/>
    </row>
    <row r="16" spans="1:248" ht="17" thickBot="1">
      <c r="A16" s="6"/>
      <c r="B16" s="8"/>
      <c r="C16" s="8"/>
      <c r="D16" s="16" t="s">
        <v>1260</v>
      </c>
      <c r="E16" s="270"/>
      <c r="F16" s="271"/>
      <c r="G16" s="272"/>
      <c r="H16" s="87" t="str">
        <f>IF(LEN(PladdressTown)&gt;0,"","*")</f>
        <v>*</v>
      </c>
      <c r="I16" s="8"/>
      <c r="J16" s="8"/>
      <c r="K16" s="16" t="s">
        <v>751</v>
      </c>
      <c r="L16" s="270"/>
      <c r="M16" s="272"/>
      <c r="N16" s="8" t="s">
        <v>1439</v>
      </c>
      <c r="O16" s="87" t="str">
        <f>IF(LEN(PlDesaredWages)&gt;0,"","*")</f>
        <v>*</v>
      </c>
      <c r="P16" s="8"/>
      <c r="Q16" s="8"/>
      <c r="R16" s="8"/>
      <c r="S16" s="8"/>
      <c r="T16" s="8"/>
      <c r="U16" s="8"/>
      <c r="V16" s="8"/>
      <c r="W16" s="8"/>
      <c r="X16" s="8"/>
      <c r="Y16" s="9"/>
      <c r="Z16" s="8"/>
      <c r="AA16" s="8"/>
      <c r="AB16" s="8"/>
      <c r="AC16" s="8"/>
      <c r="AD16" s="8"/>
      <c r="AE16" s="8"/>
      <c r="AF16" s="8"/>
      <c r="AG16" s="8"/>
      <c r="AH16" s="134" t="s">
        <v>870</v>
      </c>
      <c r="AI16" s="134">
        <v>10</v>
      </c>
      <c r="AJ16" s="139" t="s">
        <v>808</v>
      </c>
      <c r="AK16" s="20" t="str">
        <f>CONCATENATE(A83,B83,C83,AL27,E83,AL27,G83)</f>
        <v xml:space="preserve">10 Sister: , , </v>
      </c>
      <c r="AL16" s="15"/>
      <c r="AM16" s="17" t="s">
        <v>1029</v>
      </c>
      <c r="AN16" s="17" t="s">
        <v>608</v>
      </c>
      <c r="AO16" s="101" t="s">
        <v>742</v>
      </c>
      <c r="AP16" s="101" t="s">
        <v>416</v>
      </c>
      <c r="AQ16" s="101">
        <v>10</v>
      </c>
      <c r="AR16" s="101">
        <v>3</v>
      </c>
      <c r="AS16" s="101" t="s">
        <v>843</v>
      </c>
      <c r="AT16" s="89"/>
      <c r="AU16" s="89"/>
      <c r="AV16" s="4"/>
      <c r="AW16" s="4"/>
      <c r="AX16" s="4"/>
      <c r="AY16" s="4"/>
      <c r="AZ16" s="4"/>
      <c r="BA16" s="49" t="s">
        <v>11</v>
      </c>
      <c r="BB16" s="49" t="s">
        <v>604</v>
      </c>
      <c r="BC16" s="49" t="s">
        <v>840</v>
      </c>
      <c r="BD16" s="17" t="s">
        <v>593</v>
      </c>
      <c r="BE16" s="17" t="s">
        <v>604</v>
      </c>
      <c r="BF16" s="17" t="s">
        <v>52</v>
      </c>
      <c r="BG16" s="42" t="s">
        <v>1099</v>
      </c>
      <c r="BH16" s="42" t="s">
        <v>642</v>
      </c>
      <c r="BI16" s="17" t="s">
        <v>100</v>
      </c>
      <c r="BJ16" s="17" t="s">
        <v>541</v>
      </c>
      <c r="BK16" s="17"/>
      <c r="BL16" s="17"/>
      <c r="BM16" s="17" t="s">
        <v>932</v>
      </c>
      <c r="BN16" s="4"/>
      <c r="BO16" s="4"/>
    </row>
    <row r="17" spans="1:67" ht="17" thickTop="1">
      <c r="A17" s="6"/>
      <c r="B17" s="8"/>
      <c r="C17" s="8"/>
      <c r="D17" s="16" t="s">
        <v>1261</v>
      </c>
      <c r="E17" s="293"/>
      <c r="F17" s="294"/>
      <c r="G17" s="294"/>
      <c r="H17" s="294"/>
      <c r="I17" s="294"/>
      <c r="J17" s="295"/>
      <c r="K17" s="87" t="s">
        <v>154</v>
      </c>
      <c r="L17" s="8"/>
      <c r="M17" s="8"/>
      <c r="N17" s="8"/>
      <c r="O17" s="87"/>
      <c r="P17" s="8"/>
      <c r="Q17" s="8"/>
      <c r="R17" s="8"/>
      <c r="S17" s="8"/>
      <c r="T17" s="8"/>
      <c r="U17" s="8"/>
      <c r="V17" s="8"/>
      <c r="W17" s="8"/>
      <c r="X17" s="8"/>
      <c r="Y17" s="9"/>
      <c r="Z17" s="8"/>
      <c r="AA17" s="8"/>
      <c r="AB17" s="8"/>
      <c r="AC17" s="8"/>
      <c r="AD17" s="8"/>
      <c r="AE17" s="8"/>
      <c r="AF17" s="8"/>
      <c r="AG17" s="8"/>
      <c r="AH17" s="134" t="s">
        <v>871</v>
      </c>
      <c r="AI17" s="134">
        <v>11</v>
      </c>
      <c r="AJ17" s="139" t="s">
        <v>808</v>
      </c>
      <c r="AK17" s="4"/>
      <c r="AL17" s="21" t="s">
        <v>407</v>
      </c>
      <c r="AM17" s="17" t="s">
        <v>1030</v>
      </c>
      <c r="AN17" s="17"/>
      <c r="AO17" s="101" t="s">
        <v>744</v>
      </c>
      <c r="AP17" s="101" t="s">
        <v>417</v>
      </c>
      <c r="AQ17" s="101">
        <v>11</v>
      </c>
      <c r="AR17" s="101">
        <v>4</v>
      </c>
      <c r="AS17" s="101" t="s">
        <v>742</v>
      </c>
      <c r="AT17" s="89"/>
      <c r="AU17" s="89"/>
      <c r="AV17" s="4"/>
      <c r="AW17" s="4"/>
      <c r="AX17" s="4"/>
      <c r="AY17" s="4"/>
      <c r="AZ17" s="4"/>
      <c r="BA17" s="49" t="s">
        <v>12</v>
      </c>
      <c r="BB17" s="49" t="s">
        <v>604</v>
      </c>
      <c r="BC17" s="49"/>
      <c r="BD17" s="17" t="s">
        <v>594</v>
      </c>
      <c r="BE17" s="17" t="s">
        <v>604</v>
      </c>
      <c r="BF17" s="17" t="s">
        <v>53</v>
      </c>
      <c r="BG17" s="42" t="s">
        <v>1111</v>
      </c>
      <c r="BH17" s="42" t="s">
        <v>729</v>
      </c>
      <c r="BI17" s="17" t="s">
        <v>101</v>
      </c>
      <c r="BJ17" s="17" t="s">
        <v>542</v>
      </c>
      <c r="BK17" s="17"/>
      <c r="BL17" s="17"/>
      <c r="BM17" s="17" t="s">
        <v>933</v>
      </c>
      <c r="BN17" s="4"/>
      <c r="BO17" s="4"/>
    </row>
    <row r="18" spans="1:67" ht="16">
      <c r="A18" s="6"/>
      <c r="B18" s="8"/>
      <c r="C18" s="8"/>
      <c r="D18" s="16" t="s">
        <v>602</v>
      </c>
      <c r="E18" s="296"/>
      <c r="F18" s="297"/>
      <c r="G18" s="8"/>
      <c r="H18" s="8"/>
      <c r="I18" s="8"/>
      <c r="J18" s="8"/>
      <c r="K18" s="8"/>
      <c r="L18" s="8"/>
      <c r="M18" s="8"/>
      <c r="N18" s="8"/>
      <c r="O18" s="8"/>
      <c r="P18" s="87"/>
      <c r="Q18" s="8"/>
      <c r="R18" s="8"/>
      <c r="S18" s="8"/>
      <c r="T18" s="8"/>
      <c r="U18" s="8"/>
      <c r="V18" s="8"/>
      <c r="W18" s="8"/>
      <c r="X18" s="8"/>
      <c r="Y18" s="9"/>
      <c r="Z18" s="8"/>
      <c r="AA18" s="8"/>
      <c r="AB18" s="8"/>
      <c r="AC18" s="8"/>
      <c r="AD18" s="8"/>
      <c r="AE18" s="8"/>
      <c r="AF18" s="8"/>
      <c r="AG18" s="8"/>
      <c r="AH18" s="134" t="s">
        <v>479</v>
      </c>
      <c r="AI18" s="134">
        <v>12</v>
      </c>
      <c r="AJ18" s="139" t="s">
        <v>808</v>
      </c>
      <c r="AK18" s="22"/>
      <c r="AL18" s="21"/>
      <c r="AM18" s="17" t="s">
        <v>1031</v>
      </c>
      <c r="AN18" s="17" t="s">
        <v>609</v>
      </c>
      <c r="AO18" s="101" t="s">
        <v>740</v>
      </c>
      <c r="AP18" s="101" t="s">
        <v>418</v>
      </c>
      <c r="AQ18" s="101">
        <v>12</v>
      </c>
      <c r="AR18" s="101">
        <v>4</v>
      </c>
      <c r="AS18" s="101" t="s">
        <v>744</v>
      </c>
      <c r="AT18" s="89"/>
      <c r="AU18" s="89"/>
      <c r="AV18" s="4"/>
      <c r="AW18" s="4"/>
      <c r="AX18" s="4"/>
      <c r="AY18" s="4"/>
      <c r="AZ18" s="4"/>
      <c r="BA18" s="49">
        <v>3</v>
      </c>
      <c r="BB18" s="49"/>
      <c r="BC18" s="49"/>
      <c r="BD18" s="17" t="s">
        <v>595</v>
      </c>
      <c r="BE18" s="17" t="s">
        <v>604</v>
      </c>
      <c r="BF18" s="17" t="s">
        <v>54</v>
      </c>
      <c r="BG18" s="42" t="s">
        <v>95</v>
      </c>
      <c r="BH18" s="42" t="s">
        <v>835</v>
      </c>
      <c r="BI18" s="17" t="s">
        <v>102</v>
      </c>
      <c r="BJ18" s="17" t="s">
        <v>543</v>
      </c>
      <c r="BK18" s="17"/>
      <c r="BL18" s="17"/>
      <c r="BM18" s="17" t="s">
        <v>934</v>
      </c>
      <c r="BN18" s="4"/>
      <c r="BO18" s="4"/>
    </row>
    <row r="19" spans="1:67" ht="16">
      <c r="A19" s="6"/>
      <c r="B19" s="8"/>
      <c r="C19" s="8"/>
      <c r="D19" s="16" t="s">
        <v>1262</v>
      </c>
      <c r="E19" s="270"/>
      <c r="F19" s="271"/>
      <c r="G19" s="272"/>
      <c r="H19" s="16" t="s">
        <v>1426</v>
      </c>
      <c r="I19" s="270"/>
      <c r="J19" s="271"/>
      <c r="K19" s="272"/>
      <c r="L19" s="16" t="s">
        <v>837</v>
      </c>
      <c r="M19" s="274"/>
      <c r="N19" s="275"/>
      <c r="O19" s="276"/>
      <c r="P19" s="87" t="str">
        <f>IF(LEN(PlEmail)&gt;0,"","*")</f>
        <v>*</v>
      </c>
      <c r="Q19" s="8"/>
      <c r="R19" s="8"/>
      <c r="S19" s="8"/>
      <c r="T19" s="8"/>
      <c r="U19" s="8"/>
      <c r="V19" s="8"/>
      <c r="W19" s="8"/>
      <c r="X19" s="8"/>
      <c r="Y19" s="9"/>
      <c r="Z19" s="8"/>
      <c r="AA19" s="8"/>
      <c r="AB19" s="8"/>
      <c r="AC19" s="8"/>
      <c r="AD19" s="8"/>
      <c r="AE19" s="8"/>
      <c r="AF19" s="8"/>
      <c r="AG19" s="8"/>
      <c r="AH19" s="134" t="s">
        <v>480</v>
      </c>
      <c r="AI19" s="134">
        <v>13</v>
      </c>
      <c r="AJ19" s="139" t="s">
        <v>808</v>
      </c>
      <c r="AK19" s="4"/>
      <c r="AL19" s="21" t="s">
        <v>407</v>
      </c>
      <c r="AM19" s="17" t="s">
        <v>1032</v>
      </c>
      <c r="AN19" s="17" t="s">
        <v>610</v>
      </c>
      <c r="AO19" s="101" t="s">
        <v>742</v>
      </c>
      <c r="AP19" s="101" t="s">
        <v>419</v>
      </c>
      <c r="AQ19" s="101">
        <v>13</v>
      </c>
      <c r="AR19" s="101">
        <v>4</v>
      </c>
      <c r="AS19" s="101" t="s">
        <v>745</v>
      </c>
      <c r="AT19" s="89"/>
      <c r="AU19" s="89"/>
      <c r="AV19" s="4"/>
      <c r="AW19" s="4"/>
      <c r="AX19" s="4"/>
      <c r="AY19" s="4"/>
      <c r="AZ19" s="4"/>
      <c r="BA19" s="49" t="s">
        <v>973</v>
      </c>
      <c r="BB19" s="49" t="s">
        <v>604</v>
      </c>
      <c r="BC19" s="49"/>
      <c r="BD19" s="17" t="s">
        <v>596</v>
      </c>
      <c r="BE19" s="17" t="s">
        <v>710</v>
      </c>
      <c r="BF19" s="17" t="s">
        <v>55</v>
      </c>
      <c r="BG19" s="42" t="s">
        <v>1129</v>
      </c>
      <c r="BH19" s="42" t="s">
        <v>730</v>
      </c>
      <c r="BI19" s="17" t="s">
        <v>103</v>
      </c>
      <c r="BJ19" s="17" t="s">
        <v>544</v>
      </c>
      <c r="BK19" s="17"/>
      <c r="BL19" s="17"/>
      <c r="BM19" s="17" t="s">
        <v>935</v>
      </c>
      <c r="BN19" s="4"/>
      <c r="BO19" s="4"/>
    </row>
    <row r="20" spans="1:67" ht="16">
      <c r="A20" s="6"/>
      <c r="B20" s="8"/>
      <c r="C20" s="8"/>
      <c r="D20" s="8"/>
      <c r="E20" s="87" t="str">
        <f>IF(LEN(Pltel2)&gt;0,"","*")</f>
        <v>*</v>
      </c>
      <c r="F20" s="87"/>
      <c r="G20" s="8"/>
      <c r="H20" s="8"/>
      <c r="I20" s="8"/>
      <c r="J20" s="8"/>
      <c r="K20" s="8"/>
      <c r="L20" s="16" t="s">
        <v>1</v>
      </c>
      <c r="M20" s="363"/>
      <c r="N20" s="208"/>
      <c r="O20" s="208"/>
      <c r="P20" s="87"/>
      <c r="Q20" s="8"/>
      <c r="R20" s="8"/>
      <c r="S20" s="8"/>
      <c r="T20" s="8"/>
      <c r="U20" s="8"/>
      <c r="V20" s="8"/>
      <c r="W20" s="8"/>
      <c r="X20" s="8"/>
      <c r="Y20" s="9"/>
      <c r="Z20" s="8"/>
      <c r="AA20" s="8"/>
      <c r="AB20" s="8"/>
      <c r="AC20" s="8"/>
      <c r="AD20" s="8"/>
      <c r="AE20" s="8"/>
      <c r="AF20" s="8"/>
      <c r="AG20" s="8"/>
      <c r="AH20" s="134" t="s">
        <v>873</v>
      </c>
      <c r="AI20" s="134">
        <v>14</v>
      </c>
      <c r="AJ20" s="139" t="s">
        <v>809</v>
      </c>
      <c r="AK20" s="22"/>
      <c r="AL20" s="21"/>
      <c r="AM20" s="17" t="s">
        <v>1033</v>
      </c>
      <c r="AN20" s="17" t="s">
        <v>611</v>
      </c>
      <c r="AO20" s="101" t="s">
        <v>742</v>
      </c>
      <c r="AP20" s="101" t="s">
        <v>420</v>
      </c>
      <c r="AQ20" s="101">
        <v>14</v>
      </c>
      <c r="AR20" s="101">
        <v>3</v>
      </c>
      <c r="AS20" s="101" t="s">
        <v>740</v>
      </c>
      <c r="AT20" s="89"/>
      <c r="AU20" s="89"/>
      <c r="AV20" s="4"/>
      <c r="AW20" s="4"/>
      <c r="AX20" s="4"/>
      <c r="AY20" s="4"/>
      <c r="AZ20" s="4"/>
      <c r="BA20" s="49" t="s">
        <v>974</v>
      </c>
      <c r="BB20" s="49" t="s">
        <v>604</v>
      </c>
      <c r="BC20" s="49"/>
      <c r="BD20" s="17" t="s">
        <v>979</v>
      </c>
      <c r="BE20" s="17" t="s">
        <v>710</v>
      </c>
      <c r="BF20" s="17" t="s">
        <v>56</v>
      </c>
      <c r="BG20" s="42" t="s">
        <v>1133</v>
      </c>
      <c r="BH20" s="42" t="s">
        <v>731</v>
      </c>
      <c r="BI20" s="17" t="s">
        <v>1005</v>
      </c>
      <c r="BJ20" s="17" t="s">
        <v>545</v>
      </c>
      <c r="BK20" s="17"/>
      <c r="BL20" s="17"/>
      <c r="BM20" s="17" t="s">
        <v>936</v>
      </c>
      <c r="BN20" s="4"/>
      <c r="BO20" s="4"/>
    </row>
    <row r="21" spans="1:67" ht="16">
      <c r="A21" s="6"/>
      <c r="B21" s="8"/>
      <c r="C21" s="8"/>
      <c r="D21" s="16" t="s">
        <v>1263</v>
      </c>
      <c r="E21" s="270"/>
      <c r="F21" s="272"/>
      <c r="G21" s="87" t="str">
        <f>IF(LEN(PlSex)&gt;0,"","*")</f>
        <v>*</v>
      </c>
      <c r="H21" s="8"/>
      <c r="I21" s="8"/>
      <c r="J21" s="8"/>
      <c r="K21" s="92"/>
      <c r="L21" s="16" t="s">
        <v>864</v>
      </c>
      <c r="M21" s="207"/>
      <c r="N21" s="208"/>
      <c r="O21" s="208"/>
      <c r="P21" s="87"/>
      <c r="Q21" s="8"/>
      <c r="R21" s="8"/>
      <c r="S21" s="8"/>
      <c r="T21" s="8"/>
      <c r="U21" s="8"/>
      <c r="V21" s="8"/>
      <c r="W21" s="8"/>
      <c r="X21" s="8"/>
      <c r="Y21" s="9"/>
      <c r="Z21" s="8"/>
      <c r="AA21" s="8"/>
      <c r="AB21" s="8"/>
      <c r="AC21" s="8"/>
      <c r="AD21" s="8"/>
      <c r="AE21" s="8"/>
      <c r="AF21" s="8"/>
      <c r="AG21" s="8"/>
      <c r="AH21" s="134" t="s">
        <v>872</v>
      </c>
      <c r="AI21" s="134">
        <v>15</v>
      </c>
      <c r="AJ21" s="139" t="s">
        <v>809</v>
      </c>
      <c r="AK21" s="4"/>
      <c r="AL21" s="21" t="s">
        <v>407</v>
      </c>
      <c r="AM21" s="17" t="s">
        <v>1034</v>
      </c>
      <c r="AN21" s="17"/>
      <c r="AO21" s="101" t="s">
        <v>740</v>
      </c>
      <c r="AP21" s="101" t="s">
        <v>421</v>
      </c>
      <c r="AQ21" s="101">
        <v>15</v>
      </c>
      <c r="AR21" s="101">
        <v>4</v>
      </c>
      <c r="AS21" s="101"/>
      <c r="AT21" s="89"/>
      <c r="AU21" s="89"/>
      <c r="AV21" s="4"/>
      <c r="AW21" s="4"/>
      <c r="AX21" s="4"/>
      <c r="AY21" s="4"/>
      <c r="AZ21" s="4"/>
      <c r="BA21" s="49">
        <v>4</v>
      </c>
      <c r="BB21" s="49"/>
      <c r="BC21" s="49"/>
      <c r="BD21" s="17" t="s">
        <v>597</v>
      </c>
      <c r="BE21" s="17" t="s">
        <v>710</v>
      </c>
      <c r="BF21" s="17" t="s">
        <v>57</v>
      </c>
      <c r="BG21" s="42" t="s">
        <v>1145</v>
      </c>
      <c r="BH21" s="42" t="s">
        <v>732</v>
      </c>
      <c r="BI21" s="17"/>
      <c r="BJ21" s="17" t="s">
        <v>546</v>
      </c>
      <c r="BK21" s="17"/>
      <c r="BL21" s="17"/>
      <c r="BM21" s="17" t="s">
        <v>937</v>
      </c>
      <c r="BN21" s="4"/>
      <c r="BO21" s="4"/>
    </row>
    <row r="22" spans="1:67" ht="16">
      <c r="A22" s="6"/>
      <c r="B22" s="8"/>
      <c r="C22" s="8"/>
      <c r="D22" s="16" t="s">
        <v>1264</v>
      </c>
      <c r="E22" s="270"/>
      <c r="F22" s="272"/>
      <c r="G22" s="87" t="str">
        <f>IF(LEN(PlNationality)&gt;0,"","*")</f>
        <v>*</v>
      </c>
      <c r="H22" s="16" t="s">
        <v>1429</v>
      </c>
      <c r="I22" s="270"/>
      <c r="J22" s="272"/>
      <c r="K22" s="87" t="str">
        <f>IF(LEN(PlCitizenship)&gt;0,"","*")</f>
        <v>*</v>
      </c>
      <c r="L22" s="8"/>
      <c r="M22" s="8"/>
      <c r="N22" s="8"/>
      <c r="O22" s="8"/>
      <c r="P22" s="87"/>
      <c r="Q22" s="8"/>
      <c r="R22" s="8"/>
      <c r="S22" s="8"/>
      <c r="T22" s="8"/>
      <c r="U22" s="8"/>
      <c r="V22" s="8"/>
      <c r="W22" s="8"/>
      <c r="X22" s="8"/>
      <c r="Y22" s="9"/>
      <c r="Z22" s="8"/>
      <c r="AA22" s="8"/>
      <c r="AB22" s="8"/>
      <c r="AC22" s="8"/>
      <c r="AD22" s="8"/>
      <c r="AE22" s="8"/>
      <c r="AF22" s="8"/>
      <c r="AG22" s="8"/>
      <c r="AH22" s="134" t="s">
        <v>481</v>
      </c>
      <c r="AI22" s="134">
        <v>16</v>
      </c>
      <c r="AJ22" s="139" t="s">
        <v>810</v>
      </c>
      <c r="AK22" s="22"/>
      <c r="AL22" s="21"/>
      <c r="AM22" s="17" t="s">
        <v>1035</v>
      </c>
      <c r="AN22" s="17"/>
      <c r="AO22" s="101" t="s">
        <v>745</v>
      </c>
      <c r="AP22" s="101" t="s">
        <v>422</v>
      </c>
      <c r="AQ22" s="101">
        <v>16</v>
      </c>
      <c r="AR22" s="101">
        <v>4</v>
      </c>
      <c r="AS22" s="101"/>
      <c r="AT22" s="89"/>
      <c r="AU22" s="89"/>
      <c r="AV22" s="4"/>
      <c r="AW22" s="4"/>
      <c r="AX22" s="4"/>
      <c r="AY22" s="4"/>
      <c r="AZ22" s="4"/>
      <c r="BA22" s="49" t="s">
        <v>583</v>
      </c>
      <c r="BB22" s="49" t="s">
        <v>604</v>
      </c>
      <c r="BC22" s="49"/>
      <c r="BD22" s="17" t="s">
        <v>976</v>
      </c>
      <c r="BE22" s="17" t="s">
        <v>710</v>
      </c>
      <c r="BF22" s="17" t="s">
        <v>58</v>
      </c>
      <c r="BG22" s="42" t="s">
        <v>94</v>
      </c>
      <c r="BH22" s="42" t="s">
        <v>733</v>
      </c>
      <c r="BI22" s="17" t="s">
        <v>104</v>
      </c>
      <c r="BJ22" s="17" t="s">
        <v>547</v>
      </c>
      <c r="BK22" s="17"/>
      <c r="BL22" s="17"/>
      <c r="BM22" s="17" t="s">
        <v>938</v>
      </c>
      <c r="BN22" s="4"/>
      <c r="BO22" s="4"/>
    </row>
    <row r="23" spans="1:67" ht="16">
      <c r="A23" s="6"/>
      <c r="B23" s="8"/>
      <c r="C23" s="8"/>
      <c r="D23" s="16" t="s">
        <v>1265</v>
      </c>
      <c r="E23" s="270"/>
      <c r="F23" s="272"/>
      <c r="G23" s="87" t="str">
        <f>IF(LEN(PlMaritalStat)&gt;0,"","*")</f>
        <v>*</v>
      </c>
      <c r="H23" s="16" t="s">
        <v>603</v>
      </c>
      <c r="I23" s="270"/>
      <c r="J23" s="272"/>
      <c r="K23" s="8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8"/>
      <c r="AA23" s="8"/>
      <c r="AB23" s="8"/>
      <c r="AC23" s="8"/>
      <c r="AD23" s="8"/>
      <c r="AE23" s="8"/>
      <c r="AF23" s="8"/>
      <c r="AG23" s="8"/>
      <c r="AH23" s="134" t="s">
        <v>482</v>
      </c>
      <c r="AI23" s="134">
        <v>17</v>
      </c>
      <c r="AJ23" s="139" t="s">
        <v>810</v>
      </c>
      <c r="AK23" s="4"/>
      <c r="AL23" s="21" t="s">
        <v>407</v>
      </c>
      <c r="AM23" s="17" t="s">
        <v>1036</v>
      </c>
      <c r="AN23" s="17" t="s">
        <v>612</v>
      </c>
      <c r="AO23" s="101" t="s">
        <v>744</v>
      </c>
      <c r="AP23" s="101" t="s">
        <v>423</v>
      </c>
      <c r="AQ23" s="101">
        <v>17</v>
      </c>
      <c r="AR23" s="101">
        <v>4</v>
      </c>
      <c r="AS23" s="101"/>
      <c r="AT23" s="89"/>
      <c r="AU23" s="89"/>
      <c r="AV23" s="4"/>
      <c r="AW23" s="4"/>
      <c r="AX23" s="4"/>
      <c r="AY23" s="4"/>
      <c r="AZ23" s="4"/>
      <c r="BA23" s="49">
        <v>5</v>
      </c>
      <c r="BB23" s="49"/>
      <c r="BC23" s="49"/>
      <c r="BD23" s="17" t="s">
        <v>977</v>
      </c>
      <c r="BE23" s="17" t="s">
        <v>710</v>
      </c>
      <c r="BF23" s="17" t="s">
        <v>59</v>
      </c>
      <c r="BG23" s="42" t="s">
        <v>1163</v>
      </c>
      <c r="BH23" s="42" t="s">
        <v>682</v>
      </c>
      <c r="BI23" s="17" t="s">
        <v>1007</v>
      </c>
      <c r="BJ23" s="17" t="s">
        <v>548</v>
      </c>
      <c r="BK23" s="17"/>
      <c r="BL23" s="17"/>
      <c r="BM23" s="17" t="s">
        <v>939</v>
      </c>
      <c r="BN23" s="4"/>
      <c r="BO23" s="4"/>
    </row>
    <row r="24" spans="1:67" ht="16">
      <c r="A24" s="6"/>
      <c r="B24" s="8"/>
      <c r="C24" s="8"/>
      <c r="D24" s="16" t="s">
        <v>1266</v>
      </c>
      <c r="E24" s="303"/>
      <c r="F24" s="304"/>
      <c r="G24" s="87" t="str">
        <f>IF(LEN(PlReligion)&gt;0,"","*")</f>
        <v>*</v>
      </c>
      <c r="H24" s="8"/>
      <c r="I24" s="8"/>
      <c r="J24" s="8"/>
      <c r="K24" s="8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8"/>
      <c r="AA24" s="8"/>
      <c r="AB24" s="8"/>
      <c r="AC24" s="8"/>
      <c r="AD24" s="8"/>
      <c r="AE24" s="8"/>
      <c r="AF24" s="8"/>
      <c r="AG24" s="8"/>
      <c r="AH24" s="134" t="s">
        <v>483</v>
      </c>
      <c r="AI24" s="134">
        <v>18</v>
      </c>
      <c r="AJ24" s="139" t="s">
        <v>810</v>
      </c>
      <c r="AK24" s="22"/>
      <c r="AL24" s="21"/>
      <c r="AM24" s="17" t="s">
        <v>1037</v>
      </c>
      <c r="AN24" s="17"/>
      <c r="AO24" s="101" t="s">
        <v>740</v>
      </c>
      <c r="AP24" s="101" t="s">
        <v>424</v>
      </c>
      <c r="AQ24" s="101">
        <v>18</v>
      </c>
      <c r="AR24" s="101">
        <v>5</v>
      </c>
      <c r="AS24" s="104"/>
      <c r="AT24" s="89"/>
      <c r="AU24" s="89"/>
      <c r="AV24" s="4"/>
      <c r="AW24" s="4"/>
      <c r="AX24" s="4"/>
      <c r="AY24" s="4"/>
      <c r="AZ24" s="4"/>
      <c r="BA24" s="49" t="s">
        <v>582</v>
      </c>
      <c r="BB24" s="49" t="s">
        <v>604</v>
      </c>
      <c r="BC24" s="49"/>
      <c r="BD24" s="17" t="s">
        <v>978</v>
      </c>
      <c r="BE24" s="17" t="s">
        <v>710</v>
      </c>
      <c r="BF24" s="17" t="s">
        <v>60</v>
      </c>
      <c r="BG24" s="42" t="s">
        <v>93</v>
      </c>
      <c r="BH24" s="42" t="s">
        <v>733</v>
      </c>
      <c r="BI24" s="17" t="s">
        <v>1006</v>
      </c>
      <c r="BJ24" s="17" t="s">
        <v>549</v>
      </c>
      <c r="BK24" s="17"/>
      <c r="BL24" s="17"/>
      <c r="BM24" s="17" t="s">
        <v>940</v>
      </c>
      <c r="BN24" s="4"/>
      <c r="BO24" s="4"/>
    </row>
    <row r="25" spans="1:67" ht="16">
      <c r="A25" s="6"/>
      <c r="B25" s="8"/>
      <c r="C25" s="8"/>
      <c r="D25" s="16" t="s">
        <v>1267</v>
      </c>
      <c r="E25" s="293"/>
      <c r="F25" s="294"/>
      <c r="G25" s="294"/>
      <c r="H25" s="294"/>
      <c r="I25" s="294"/>
      <c r="J25" s="295"/>
      <c r="K25" s="87" t="str">
        <f>IF(LEN(PlEducation)&gt;0,"","*")</f>
        <v>*</v>
      </c>
      <c r="L25" s="8"/>
      <c r="M25" s="8"/>
      <c r="N25" s="8" t="s">
        <v>1431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8"/>
      <c r="AA25" s="8"/>
      <c r="AB25" s="8"/>
      <c r="AC25" s="8"/>
      <c r="AD25" s="8"/>
      <c r="AE25" s="8"/>
      <c r="AF25" s="8"/>
      <c r="AG25" s="8"/>
      <c r="AH25" s="134" t="s">
        <v>874</v>
      </c>
      <c r="AI25" s="134">
        <v>19</v>
      </c>
      <c r="AJ25" s="139" t="s">
        <v>810</v>
      </c>
      <c r="AK25" s="4"/>
      <c r="AL25" s="21" t="s">
        <v>407</v>
      </c>
      <c r="AM25" s="17" t="s">
        <v>1038</v>
      </c>
      <c r="AN25" s="17"/>
      <c r="AO25" s="101" t="s">
        <v>740</v>
      </c>
      <c r="AP25" s="101" t="s">
        <v>425</v>
      </c>
      <c r="AQ25" s="101">
        <v>19</v>
      </c>
      <c r="AR25" s="101">
        <v>5</v>
      </c>
      <c r="AS25" s="104"/>
      <c r="AT25" s="89"/>
      <c r="AU25" s="89"/>
      <c r="AV25" s="4"/>
      <c r="AW25" s="4"/>
      <c r="AX25" s="4"/>
      <c r="AY25" s="4"/>
      <c r="AZ25" s="4"/>
      <c r="BA25" s="49" t="s">
        <v>581</v>
      </c>
      <c r="BB25" s="49" t="s">
        <v>604</v>
      </c>
      <c r="BC25" s="49"/>
      <c r="BD25" s="17" t="s">
        <v>598</v>
      </c>
      <c r="BE25" s="17" t="s">
        <v>664</v>
      </c>
      <c r="BF25" s="17" t="s">
        <v>91</v>
      </c>
      <c r="BG25" s="42" t="s">
        <v>1167</v>
      </c>
      <c r="BH25" s="42" t="s">
        <v>734</v>
      </c>
      <c r="BI25" s="17"/>
      <c r="BJ25" s="17" t="s">
        <v>550</v>
      </c>
      <c r="BK25" s="17"/>
      <c r="BL25" s="17"/>
      <c r="BM25" s="17" t="s">
        <v>941</v>
      </c>
      <c r="BN25" s="4"/>
      <c r="BO25" s="4"/>
    </row>
    <row r="26" spans="1:67" ht="17" thickBot="1">
      <c r="A26" s="6"/>
      <c r="B26" s="8"/>
      <c r="C26" s="8"/>
      <c r="D26" s="16" t="s">
        <v>1427</v>
      </c>
      <c r="E26" s="293"/>
      <c r="F26" s="294"/>
      <c r="G26" s="294"/>
      <c r="H26" s="294"/>
      <c r="I26" s="294"/>
      <c r="J26" s="295"/>
      <c r="K26" s="87"/>
      <c r="L26" s="8"/>
      <c r="M26" s="8"/>
      <c r="N26" s="8" t="s">
        <v>1432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8"/>
      <c r="AA26" s="8"/>
      <c r="AB26" s="8"/>
      <c r="AC26" s="8"/>
      <c r="AD26" s="8"/>
      <c r="AE26" s="8"/>
      <c r="AF26" s="8"/>
      <c r="AG26" s="8"/>
      <c r="AH26" s="134" t="s">
        <v>465</v>
      </c>
      <c r="AI26" s="134">
        <v>20</v>
      </c>
      <c r="AJ26" s="139" t="s">
        <v>810</v>
      </c>
      <c r="AK26" s="22"/>
      <c r="AL26" s="21"/>
      <c r="AM26" s="17" t="s">
        <v>1039</v>
      </c>
      <c r="AN26" s="17" t="s">
        <v>613</v>
      </c>
      <c r="AO26" s="101"/>
      <c r="AP26" s="101" t="s">
        <v>426</v>
      </c>
      <c r="AQ26" s="101">
        <v>20</v>
      </c>
      <c r="AR26" s="101">
        <v>4</v>
      </c>
      <c r="AS26" s="101" t="s">
        <v>740</v>
      </c>
      <c r="AT26" s="89"/>
      <c r="AU26" s="89"/>
      <c r="AV26" s="4"/>
      <c r="AW26" s="4"/>
      <c r="AX26" s="4"/>
      <c r="AY26" s="4"/>
      <c r="AZ26" s="4"/>
      <c r="BA26" s="49" t="s">
        <v>580</v>
      </c>
      <c r="BB26" s="49" t="s">
        <v>604</v>
      </c>
      <c r="BC26" s="49"/>
      <c r="BD26" s="17" t="s">
        <v>599</v>
      </c>
      <c r="BE26" s="17" t="s">
        <v>664</v>
      </c>
      <c r="BF26" s="17" t="s">
        <v>90</v>
      </c>
      <c r="BG26" s="42" t="s">
        <v>1350</v>
      </c>
      <c r="BH26" s="42" t="s">
        <v>735</v>
      </c>
      <c r="BI26" s="17" t="s">
        <v>990</v>
      </c>
      <c r="BJ26" s="17" t="s">
        <v>551</v>
      </c>
      <c r="BK26" s="17"/>
      <c r="BL26" s="17"/>
      <c r="BM26" s="17" t="s">
        <v>942</v>
      </c>
      <c r="BN26" s="4"/>
      <c r="BO26" s="4"/>
    </row>
    <row r="27" spans="1:67" ht="18" thickTop="1" thickBot="1">
      <c r="A27" s="6"/>
      <c r="B27" s="8"/>
      <c r="C27" s="8"/>
      <c r="D27" s="8"/>
      <c r="E27" s="8"/>
      <c r="F27" s="8"/>
      <c r="G27" s="8"/>
      <c r="H27" s="8"/>
      <c r="I27" s="8"/>
      <c r="J27" s="8"/>
      <c r="K27" s="92"/>
      <c r="L27" s="8"/>
      <c r="M27" s="8"/>
      <c r="N27" s="225"/>
      <c r="O27" s="226"/>
      <c r="P27" s="92"/>
      <c r="Q27" s="8"/>
      <c r="R27" s="8"/>
      <c r="S27" s="8"/>
      <c r="T27" s="8"/>
      <c r="U27" s="8"/>
      <c r="V27" s="8"/>
      <c r="W27" s="8"/>
      <c r="X27" s="8"/>
      <c r="Y27" s="9"/>
      <c r="Z27" s="8"/>
      <c r="AA27" s="8"/>
      <c r="AB27" s="8"/>
      <c r="AC27" s="8"/>
      <c r="AD27" s="8"/>
      <c r="AE27" s="8"/>
      <c r="AF27" s="8"/>
      <c r="AG27" s="8"/>
      <c r="AH27" s="134" t="s">
        <v>875</v>
      </c>
      <c r="AI27" s="134">
        <v>21</v>
      </c>
      <c r="AJ27" s="139" t="s">
        <v>810</v>
      </c>
      <c r="AK27" s="22"/>
      <c r="AL27" s="21" t="s">
        <v>407</v>
      </c>
      <c r="AM27" s="17" t="s">
        <v>1040</v>
      </c>
      <c r="AN27" s="17" t="s">
        <v>614</v>
      </c>
      <c r="AO27" s="101"/>
      <c r="AP27" s="101" t="s">
        <v>427</v>
      </c>
      <c r="AQ27" s="101">
        <v>21</v>
      </c>
      <c r="AR27" s="101">
        <v>4</v>
      </c>
      <c r="AS27" s="101"/>
      <c r="AT27" s="89"/>
      <c r="AU27" s="89"/>
      <c r="AV27" s="4"/>
      <c r="AW27" s="4"/>
      <c r="AX27" s="4"/>
      <c r="AY27" s="4"/>
      <c r="AZ27" s="4"/>
      <c r="BA27" s="49" t="s">
        <v>579</v>
      </c>
      <c r="BB27" s="49" t="s">
        <v>604</v>
      </c>
      <c r="BC27" s="49"/>
      <c r="BD27" s="19"/>
      <c r="BE27" s="19"/>
      <c r="BF27" s="17" t="s">
        <v>61</v>
      </c>
      <c r="BG27" s="42" t="s">
        <v>1193</v>
      </c>
      <c r="BH27" s="42" t="s">
        <v>736</v>
      </c>
      <c r="BI27" s="17"/>
      <c r="BJ27" s="17" t="s">
        <v>552</v>
      </c>
      <c r="BK27" s="17"/>
      <c r="BL27" s="17"/>
      <c r="BM27" s="17" t="s">
        <v>943</v>
      </c>
      <c r="BN27" s="4"/>
      <c r="BO27" s="4"/>
    </row>
    <row r="28" spans="1:67" ht="19" thickTop="1">
      <c r="A28" s="6"/>
      <c r="B28" s="10" t="s">
        <v>1268</v>
      </c>
      <c r="C28" s="8"/>
      <c r="D28" s="8"/>
      <c r="E28" s="8"/>
      <c r="F28" s="8"/>
      <c r="G28" s="92"/>
      <c r="H28" s="8"/>
      <c r="I28" s="8"/>
      <c r="J28" s="92"/>
      <c r="K28" s="8"/>
      <c r="L28" s="8"/>
      <c r="M28" s="8"/>
      <c r="N28" s="227"/>
      <c r="O28" s="228"/>
      <c r="P28" s="8"/>
      <c r="Q28" s="8"/>
      <c r="R28" s="8"/>
      <c r="S28" s="8"/>
      <c r="T28" s="8"/>
      <c r="U28" s="8"/>
      <c r="V28" s="8"/>
      <c r="W28" s="8"/>
      <c r="X28" s="8"/>
      <c r="Y28" s="9"/>
      <c r="Z28" s="8"/>
      <c r="AA28" s="8"/>
      <c r="AB28" s="8"/>
      <c r="AC28" s="8"/>
      <c r="AD28" s="8"/>
      <c r="AE28" s="8"/>
      <c r="AF28" s="8"/>
      <c r="AG28" s="8"/>
      <c r="AH28" s="134" t="s">
        <v>876</v>
      </c>
      <c r="AI28" s="134">
        <v>22</v>
      </c>
      <c r="AJ28" s="139">
        <v>5</v>
      </c>
      <c r="AK28" s="22"/>
      <c r="AL28" s="21"/>
      <c r="AM28" s="17" t="s">
        <v>1041</v>
      </c>
      <c r="AN28" s="17" t="s">
        <v>615</v>
      </c>
      <c r="AO28" s="101"/>
      <c r="AP28" s="101" t="s">
        <v>428</v>
      </c>
      <c r="AQ28" s="101">
        <v>22</v>
      </c>
      <c r="AR28" s="101">
        <v>4</v>
      </c>
      <c r="AS28" s="101"/>
      <c r="AT28" s="89"/>
      <c r="AU28" s="89"/>
      <c r="AV28" s="4"/>
      <c r="AW28" s="4"/>
      <c r="AX28" s="4"/>
      <c r="AY28" s="4"/>
      <c r="AZ28" s="4"/>
      <c r="BA28" s="49" t="s">
        <v>578</v>
      </c>
      <c r="BB28" s="49" t="s">
        <v>604</v>
      </c>
      <c r="BC28" s="49"/>
      <c r="BD28" s="4"/>
      <c r="BE28" s="4"/>
      <c r="BF28" s="17" t="s">
        <v>62</v>
      </c>
      <c r="BG28" s="42" t="s">
        <v>92</v>
      </c>
      <c r="BH28" s="42" t="s">
        <v>737</v>
      </c>
      <c r="BI28" s="17" t="s">
        <v>106</v>
      </c>
      <c r="BJ28" s="17" t="s">
        <v>553</v>
      </c>
      <c r="BK28" s="17"/>
      <c r="BL28" s="17"/>
      <c r="BM28" s="17" t="s">
        <v>944</v>
      </c>
      <c r="BN28" s="4"/>
      <c r="BO28" s="4"/>
    </row>
    <row r="29" spans="1:67" ht="16">
      <c r="A29" s="6"/>
      <c r="B29" s="8"/>
      <c r="C29" s="8"/>
      <c r="D29" s="16" t="s">
        <v>1269</v>
      </c>
      <c r="E29" s="64"/>
      <c r="F29" s="8" t="s">
        <v>1354</v>
      </c>
      <c r="G29" s="87" t="str">
        <f>IF(LEN(PlWeight)&gt;0,"","*")</f>
        <v>*</v>
      </c>
      <c r="H29" s="16" t="s">
        <v>1275</v>
      </c>
      <c r="I29" s="67" t="s">
        <v>1357</v>
      </c>
      <c r="J29" s="87" t="str">
        <f>IF(LEN(PlHairs_color)&gt;0,"","*")</f>
        <v/>
      </c>
      <c r="K29" s="8"/>
      <c r="L29" s="8"/>
      <c r="M29" s="8"/>
      <c r="N29" s="227"/>
      <c r="O29" s="228"/>
      <c r="P29" s="8"/>
      <c r="Q29" s="8"/>
      <c r="R29" s="8"/>
      <c r="S29" s="8"/>
      <c r="T29" s="8"/>
      <c r="U29" s="8"/>
      <c r="V29" s="8"/>
      <c r="W29" s="8"/>
      <c r="X29" s="8"/>
      <c r="Y29" s="9"/>
      <c r="Z29" s="8"/>
      <c r="AA29" s="8"/>
      <c r="AB29" s="8"/>
      <c r="AC29" s="8"/>
      <c r="AD29" s="8"/>
      <c r="AE29" s="8"/>
      <c r="AF29" s="8"/>
      <c r="AG29" s="8"/>
      <c r="AH29" s="134" t="s">
        <v>877</v>
      </c>
      <c r="AI29" s="134">
        <v>23</v>
      </c>
      <c r="AJ29" s="139">
        <v>5</v>
      </c>
      <c r="AK29" s="4"/>
      <c r="AL29" s="21" t="s">
        <v>531</v>
      </c>
      <c r="AM29" s="17" t="s">
        <v>1042</v>
      </c>
      <c r="AN29" s="17"/>
      <c r="AO29" s="101"/>
      <c r="AP29" s="101" t="s">
        <v>429</v>
      </c>
      <c r="AQ29" s="101">
        <v>23</v>
      </c>
      <c r="AR29" s="101">
        <v>4</v>
      </c>
      <c r="AS29" s="101" t="s">
        <v>740</v>
      </c>
      <c r="AT29" s="89"/>
      <c r="AU29" s="89"/>
      <c r="AV29" s="4"/>
      <c r="AW29" s="4"/>
      <c r="AX29" s="4"/>
      <c r="AY29" s="4"/>
      <c r="AZ29" s="4"/>
      <c r="BA29" s="49" t="s">
        <v>577</v>
      </c>
      <c r="BB29" s="49" t="s">
        <v>604</v>
      </c>
      <c r="BC29" s="49"/>
      <c r="BD29" s="4"/>
      <c r="BE29" s="4"/>
      <c r="BF29" s="17" t="s">
        <v>63</v>
      </c>
      <c r="BG29" s="42" t="s">
        <v>1219</v>
      </c>
      <c r="BH29" s="42" t="s">
        <v>738</v>
      </c>
      <c r="BI29" s="17" t="s">
        <v>140</v>
      </c>
      <c r="BJ29" s="17" t="s">
        <v>554</v>
      </c>
      <c r="BK29" s="17"/>
      <c r="BL29" s="17"/>
      <c r="BM29" s="17" t="s">
        <v>945</v>
      </c>
      <c r="BN29" s="4"/>
      <c r="BO29" s="4"/>
    </row>
    <row r="30" spans="1:67" ht="14" thickBot="1">
      <c r="A30" s="6"/>
      <c r="B30" s="8"/>
      <c r="C30" s="8"/>
      <c r="D30" s="16" t="s">
        <v>1270</v>
      </c>
      <c r="E30" s="65"/>
      <c r="F30" s="8" t="s">
        <v>1355</v>
      </c>
      <c r="G30" s="87" t="str">
        <f>IF(LEN(PlHeight)&gt;0,"","*")</f>
        <v>*</v>
      </c>
      <c r="H30" s="16" t="s">
        <v>1274</v>
      </c>
      <c r="I30" s="68" t="s">
        <v>1396</v>
      </c>
      <c r="J30" s="87" t="str">
        <f>IF(LEN(PlEyes_color)&gt;0,"","*")</f>
        <v/>
      </c>
      <c r="K30" s="8"/>
      <c r="L30" s="8"/>
      <c r="M30" s="8"/>
      <c r="N30" s="227"/>
      <c r="O30" s="228"/>
      <c r="P30" s="8"/>
      <c r="Q30" s="8"/>
      <c r="R30" s="8"/>
      <c r="S30" s="8"/>
      <c r="T30" s="8"/>
      <c r="U30" s="8"/>
      <c r="V30" s="8"/>
      <c r="W30" s="8"/>
      <c r="X30" s="8"/>
      <c r="Y30" s="9"/>
      <c r="Z30" s="8"/>
      <c r="AA30" s="8"/>
      <c r="AB30" s="8"/>
      <c r="AC30" s="8"/>
      <c r="AD30" s="8"/>
      <c r="AE30" s="8"/>
      <c r="AF30" s="8"/>
      <c r="AG30" s="8"/>
      <c r="AH30" s="134" t="s">
        <v>878</v>
      </c>
      <c r="AI30" s="134">
        <v>24</v>
      </c>
      <c r="AJ30" s="139">
        <v>5</v>
      </c>
      <c r="AK30" s="4"/>
      <c r="AL30" s="4"/>
      <c r="AM30" s="17" t="s">
        <v>1043</v>
      </c>
      <c r="AN30" s="17"/>
      <c r="AO30" s="101"/>
      <c r="AP30" s="101" t="s">
        <v>431</v>
      </c>
      <c r="AQ30" s="101">
        <v>24</v>
      </c>
      <c r="AR30" s="101">
        <v>6</v>
      </c>
      <c r="AS30" s="101"/>
      <c r="AT30" s="89"/>
      <c r="AU30" s="89"/>
      <c r="AV30" s="4"/>
      <c r="AW30" s="4"/>
      <c r="AX30" s="4"/>
      <c r="AY30" s="4"/>
      <c r="AZ30" s="4"/>
      <c r="BA30" s="49">
        <v>6</v>
      </c>
      <c r="BB30" s="49"/>
      <c r="BC30" s="49"/>
      <c r="BD30" s="4"/>
      <c r="BE30" s="4"/>
      <c r="BF30" s="17" t="s">
        <v>64</v>
      </c>
      <c r="BG30" s="46" t="s">
        <v>1221</v>
      </c>
      <c r="BH30" s="46" t="s">
        <v>710</v>
      </c>
      <c r="BI30" s="17" t="s">
        <v>107</v>
      </c>
      <c r="BJ30" s="17" t="s">
        <v>555</v>
      </c>
      <c r="BK30" s="17"/>
      <c r="BL30" s="17"/>
      <c r="BM30" s="17" t="s">
        <v>946</v>
      </c>
      <c r="BN30" s="4"/>
      <c r="BO30" s="4"/>
    </row>
    <row r="31" spans="1:67" ht="14" thickTop="1">
      <c r="A31" s="6"/>
      <c r="B31" s="8"/>
      <c r="C31" s="8"/>
      <c r="D31" s="16" t="s">
        <v>1272</v>
      </c>
      <c r="E31" s="64"/>
      <c r="F31" s="8" t="s">
        <v>5</v>
      </c>
      <c r="G31" s="87" t="str">
        <f>IF(LEN(PlClothes_Size)&gt;0,"","*")</f>
        <v>*</v>
      </c>
      <c r="H31" s="16" t="s">
        <v>1276</v>
      </c>
      <c r="I31" s="68" t="s">
        <v>1358</v>
      </c>
      <c r="J31" s="87" t="str">
        <f>IF(LEN(PlSkins_Color)&gt;0,"","*")</f>
        <v/>
      </c>
      <c r="K31" s="8"/>
      <c r="L31" s="8"/>
      <c r="M31" s="8"/>
      <c r="N31" s="227"/>
      <c r="O31" s="228"/>
      <c r="P31" s="8"/>
      <c r="Q31" s="8"/>
      <c r="R31" s="8"/>
      <c r="S31" s="8"/>
      <c r="T31" s="8"/>
      <c r="U31" s="8"/>
      <c r="V31" s="8"/>
      <c r="W31" s="8"/>
      <c r="X31" s="8"/>
      <c r="Y31" s="9"/>
      <c r="Z31" s="8"/>
      <c r="AA31" s="8"/>
      <c r="AB31" s="8"/>
      <c r="AC31" s="8"/>
      <c r="AD31" s="8"/>
      <c r="AE31" s="8"/>
      <c r="AF31" s="8"/>
      <c r="AG31" s="8"/>
      <c r="AH31" s="134" t="s">
        <v>879</v>
      </c>
      <c r="AI31" s="134">
        <v>25</v>
      </c>
      <c r="AJ31" s="139">
        <v>6</v>
      </c>
      <c r="AK31" s="4"/>
      <c r="AL31" s="4"/>
      <c r="AM31" s="17" t="s">
        <v>1044</v>
      </c>
      <c r="AN31" s="17"/>
      <c r="AO31" s="17"/>
      <c r="AP31" s="17" t="s">
        <v>430</v>
      </c>
      <c r="AQ31" s="101">
        <v>25</v>
      </c>
      <c r="AR31" s="101">
        <v>6</v>
      </c>
      <c r="AS31" s="101"/>
      <c r="AT31" s="4"/>
      <c r="AU31" s="4"/>
      <c r="AV31" s="4"/>
      <c r="AW31" s="4"/>
      <c r="AX31" s="4"/>
      <c r="AY31" s="4"/>
      <c r="AZ31" s="4"/>
      <c r="BA31" s="49" t="s">
        <v>576</v>
      </c>
      <c r="BB31" s="49" t="s">
        <v>604</v>
      </c>
      <c r="BC31" s="49"/>
      <c r="BD31" s="4"/>
      <c r="BE31" s="4"/>
      <c r="BF31" s="17" t="s">
        <v>65</v>
      </c>
      <c r="BG31" s="4"/>
      <c r="BH31" s="4"/>
      <c r="BI31" s="17" t="s">
        <v>1001</v>
      </c>
      <c r="BJ31" s="17" t="s">
        <v>556</v>
      </c>
      <c r="BK31" s="17"/>
      <c r="BL31" s="17"/>
      <c r="BM31" s="17" t="s">
        <v>947</v>
      </c>
      <c r="BN31" s="4"/>
      <c r="BO31" s="4"/>
    </row>
    <row r="32" spans="1:67">
      <c r="A32" s="6"/>
      <c r="B32" s="8"/>
      <c r="C32" s="8"/>
      <c r="D32" s="16" t="s">
        <v>1271</v>
      </c>
      <c r="E32" s="64"/>
      <c r="F32" s="8"/>
      <c r="G32" s="87" t="str">
        <f>IF(LEN(E32)&gt;0,"","*")</f>
        <v>*</v>
      </c>
      <c r="H32" s="8"/>
      <c r="I32" s="8"/>
      <c r="J32" s="87"/>
      <c r="K32" s="8"/>
      <c r="L32" s="8"/>
      <c r="M32" s="8"/>
      <c r="N32" s="227"/>
      <c r="O32" s="228"/>
      <c r="P32" s="8"/>
      <c r="Q32" s="8"/>
      <c r="R32" s="8"/>
      <c r="S32" s="8"/>
      <c r="T32" s="8"/>
      <c r="U32" s="8"/>
      <c r="V32" s="8"/>
      <c r="W32" s="8"/>
      <c r="X32" s="8"/>
      <c r="Y32" s="9"/>
      <c r="Z32" s="8"/>
      <c r="AA32" s="8"/>
      <c r="AB32" s="8"/>
      <c r="AC32" s="8"/>
      <c r="AD32" s="8"/>
      <c r="AE32" s="8"/>
      <c r="AF32" s="8"/>
      <c r="AG32" s="8"/>
      <c r="AH32" s="134" t="s">
        <v>880</v>
      </c>
      <c r="AI32" s="134">
        <v>26</v>
      </c>
      <c r="AJ32" s="139">
        <v>5</v>
      </c>
      <c r="AK32" s="4"/>
      <c r="AL32" s="4"/>
      <c r="AM32" s="17" t="s">
        <v>1045</v>
      </c>
      <c r="AN32" s="17" t="s">
        <v>616</v>
      </c>
      <c r="AO32" s="17"/>
      <c r="AP32" s="17" t="s">
        <v>432</v>
      </c>
      <c r="AQ32" s="101">
        <v>26</v>
      </c>
      <c r="AR32" s="101">
        <v>6</v>
      </c>
      <c r="AS32" s="125"/>
      <c r="AT32" s="4"/>
      <c r="AU32" s="4"/>
      <c r="AV32" s="4"/>
      <c r="AW32" s="4"/>
      <c r="AX32" s="4"/>
      <c r="AY32" s="4"/>
      <c r="AZ32" s="4"/>
      <c r="BA32" s="49" t="s">
        <v>975</v>
      </c>
      <c r="BB32" s="49" t="s">
        <v>604</v>
      </c>
      <c r="BC32" s="49"/>
      <c r="BD32" s="4"/>
      <c r="BE32" s="4"/>
      <c r="BF32" s="17" t="s">
        <v>66</v>
      </c>
      <c r="BG32" s="4"/>
      <c r="BH32" s="4"/>
      <c r="BI32" s="17" t="s">
        <v>985</v>
      </c>
      <c r="BJ32" s="17" t="s">
        <v>557</v>
      </c>
      <c r="BK32" s="17"/>
      <c r="BL32" s="17"/>
      <c r="BM32" s="17" t="s">
        <v>948</v>
      </c>
      <c r="BN32" s="4"/>
      <c r="BO32" s="4"/>
    </row>
    <row r="33" spans="1:67" ht="15.75" customHeight="1">
      <c r="A33" s="6"/>
      <c r="B33" s="8"/>
      <c r="C33" s="8"/>
      <c r="D33" s="16" t="s">
        <v>1273</v>
      </c>
      <c r="E33" s="64"/>
      <c r="F33" s="8" t="s">
        <v>819</v>
      </c>
      <c r="G33" s="87" t="str">
        <f>IF(LEN(PlHead_Size)&gt;0,"","*")</f>
        <v>*</v>
      </c>
      <c r="H33" s="8"/>
      <c r="I33" s="8"/>
      <c r="J33" s="92"/>
      <c r="K33" s="8"/>
      <c r="L33" s="8"/>
      <c r="M33" s="8"/>
      <c r="N33" s="227"/>
      <c r="O33" s="228"/>
      <c r="P33" s="8"/>
      <c r="Q33" s="8"/>
      <c r="R33" s="8"/>
      <c r="S33" s="8"/>
      <c r="T33" s="8"/>
      <c r="U33" s="8"/>
      <c r="V33" s="8"/>
      <c r="W33" s="8"/>
      <c r="X33" s="8"/>
      <c r="Y33" s="9"/>
      <c r="Z33" s="8"/>
      <c r="AA33" s="8"/>
      <c r="AB33" s="8"/>
      <c r="AC33" s="8"/>
      <c r="AD33" s="8"/>
      <c r="AE33" s="8"/>
      <c r="AF33" s="8"/>
      <c r="AG33" s="8"/>
      <c r="AH33" s="134" t="s">
        <v>925</v>
      </c>
      <c r="AI33" s="134">
        <v>27</v>
      </c>
      <c r="AJ33" s="139">
        <v>5</v>
      </c>
      <c r="AK33" s="4"/>
      <c r="AL33" s="4"/>
      <c r="AM33" s="17" t="s">
        <v>1046</v>
      </c>
      <c r="AN33" s="17"/>
      <c r="AO33" s="17"/>
      <c r="AP33" s="17" t="s">
        <v>434</v>
      </c>
      <c r="AQ33" s="101">
        <v>27</v>
      </c>
      <c r="AR33" s="101">
        <v>6</v>
      </c>
      <c r="AS33" s="125"/>
      <c r="AT33" s="4"/>
      <c r="AU33" s="4"/>
      <c r="AV33" s="4"/>
      <c r="AW33" s="4"/>
      <c r="AX33" s="4"/>
      <c r="AY33" s="4"/>
      <c r="AZ33" s="4"/>
      <c r="BA33" s="49" t="s">
        <v>788</v>
      </c>
      <c r="BB33" s="49" t="s">
        <v>604</v>
      </c>
      <c r="BC33" s="49"/>
      <c r="BD33" s="4"/>
      <c r="BE33" s="4"/>
      <c r="BF33" s="17" t="s">
        <v>67</v>
      </c>
      <c r="BG33" s="4"/>
      <c r="BH33" s="4"/>
      <c r="BI33" s="17" t="s">
        <v>986</v>
      </c>
      <c r="BJ33" s="17" t="s">
        <v>558</v>
      </c>
      <c r="BK33" s="17"/>
      <c r="BL33" s="17"/>
      <c r="BM33" s="17" t="s">
        <v>949</v>
      </c>
      <c r="BN33" s="4"/>
      <c r="BO33" s="4"/>
    </row>
    <row r="34" spans="1:67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27"/>
      <c r="O34" s="228"/>
      <c r="P34" s="8"/>
      <c r="Q34" s="8"/>
      <c r="R34" s="8"/>
      <c r="S34" s="8"/>
      <c r="T34" s="8"/>
      <c r="U34" s="8"/>
      <c r="V34" s="8"/>
      <c r="W34" s="8"/>
      <c r="X34" s="8"/>
      <c r="Y34" s="9"/>
      <c r="Z34" s="8"/>
      <c r="AA34" s="8"/>
      <c r="AB34" s="8"/>
      <c r="AC34" s="8"/>
      <c r="AD34" s="8"/>
      <c r="AE34" s="8"/>
      <c r="AF34" s="8"/>
      <c r="AG34" s="8"/>
      <c r="AH34" s="134" t="s">
        <v>466</v>
      </c>
      <c r="AI34" s="134">
        <v>28</v>
      </c>
      <c r="AJ34" s="139">
        <v>5</v>
      </c>
      <c r="AK34" s="4"/>
      <c r="AL34" s="4"/>
      <c r="AM34" s="17" t="s">
        <v>1047</v>
      </c>
      <c r="AN34" s="17"/>
      <c r="AO34" s="17"/>
      <c r="AP34" s="17" t="s">
        <v>433</v>
      </c>
      <c r="AQ34" s="101">
        <v>28</v>
      </c>
      <c r="AR34" s="101">
        <v>6</v>
      </c>
      <c r="AS34" s="125"/>
      <c r="AT34" s="4"/>
      <c r="AU34" s="4"/>
      <c r="AV34" s="4"/>
      <c r="AW34" s="4"/>
      <c r="AX34" s="4"/>
      <c r="AY34" s="4"/>
      <c r="AZ34" s="4"/>
      <c r="BA34" s="49">
        <v>7</v>
      </c>
      <c r="BB34" s="49"/>
      <c r="BC34" s="49"/>
      <c r="BD34" s="4"/>
      <c r="BE34" s="4"/>
      <c r="BF34" s="17" t="s">
        <v>68</v>
      </c>
      <c r="BG34" s="4"/>
      <c r="BH34" s="4"/>
      <c r="BI34" s="17"/>
      <c r="BJ34" s="17" t="s">
        <v>559</v>
      </c>
      <c r="BK34" s="17"/>
      <c r="BL34" s="17"/>
      <c r="BM34" s="17" t="s">
        <v>950</v>
      </c>
      <c r="BN34" s="4"/>
      <c r="BO34" s="4"/>
    </row>
    <row r="35" spans="1:67">
      <c r="A35" s="6"/>
      <c r="B35" s="8"/>
      <c r="C35" s="8" t="s">
        <v>1277</v>
      </c>
      <c r="D35" s="8"/>
      <c r="E35" s="66" t="s">
        <v>532</v>
      </c>
      <c r="F35" s="8" t="s">
        <v>1278</v>
      </c>
      <c r="G35" s="8"/>
      <c r="H35" s="8"/>
      <c r="I35" s="8"/>
      <c r="J35" s="87" t="str">
        <f>IF(LEN(PlEnglTestPst)&gt;0,"","*")</f>
        <v/>
      </c>
      <c r="K35" s="8"/>
      <c r="L35" s="8"/>
      <c r="M35" s="8"/>
      <c r="N35" s="227"/>
      <c r="O35" s="228"/>
      <c r="P35" s="8"/>
      <c r="Q35" s="8"/>
      <c r="R35" s="8"/>
      <c r="S35" s="8"/>
      <c r="T35" s="8"/>
      <c r="U35" s="8"/>
      <c r="V35" s="8"/>
      <c r="W35" s="8"/>
      <c r="X35" s="8"/>
      <c r="Y35" s="9"/>
      <c r="Z35" s="8"/>
      <c r="AA35" s="8"/>
      <c r="AB35" s="8"/>
      <c r="AC35" s="8"/>
      <c r="AD35" s="8"/>
      <c r="AE35" s="8"/>
      <c r="AF35" s="8"/>
      <c r="AG35" s="8"/>
      <c r="AH35" s="134" t="s">
        <v>467</v>
      </c>
      <c r="AI35" s="134">
        <v>29</v>
      </c>
      <c r="AJ35" s="139">
        <v>5</v>
      </c>
      <c r="AK35" s="4"/>
      <c r="AL35" s="4"/>
      <c r="AM35" s="17" t="s">
        <v>1048</v>
      </c>
      <c r="AN35" s="17" t="s">
        <v>617</v>
      </c>
      <c r="AO35" s="17"/>
      <c r="AP35" s="17" t="s">
        <v>787</v>
      </c>
      <c r="AQ35" s="101">
        <v>29</v>
      </c>
      <c r="AR35" s="101">
        <v>6</v>
      </c>
      <c r="AS35" s="125"/>
      <c r="AT35" s="4"/>
      <c r="AU35" s="4"/>
      <c r="AV35" s="4"/>
      <c r="AW35" s="4"/>
      <c r="AX35" s="4"/>
      <c r="AY35" s="4"/>
      <c r="AZ35" s="4"/>
      <c r="BA35" s="49" t="s">
        <v>575</v>
      </c>
      <c r="BB35" s="49" t="s">
        <v>604</v>
      </c>
      <c r="BC35" s="49"/>
      <c r="BD35" s="4"/>
      <c r="BE35" s="4"/>
      <c r="BF35" s="17" t="s">
        <v>69</v>
      </c>
      <c r="BG35" s="4"/>
      <c r="BH35" s="4"/>
      <c r="BI35" s="17" t="s">
        <v>999</v>
      </c>
      <c r="BJ35" s="4"/>
      <c r="BK35" s="4"/>
      <c r="BL35" s="4"/>
      <c r="BM35" s="17" t="s">
        <v>951</v>
      </c>
      <c r="BN35" s="4"/>
      <c r="BO35" s="4"/>
    </row>
    <row r="36" spans="1:67" ht="14" thickBo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29"/>
      <c r="O36" s="230"/>
      <c r="P36" s="8"/>
      <c r="Q36" s="8"/>
      <c r="R36" s="8"/>
      <c r="S36" s="8"/>
      <c r="T36" s="8"/>
      <c r="U36" s="8"/>
      <c r="V36" s="8"/>
      <c r="W36" s="8"/>
      <c r="X36" s="8"/>
      <c r="Y36" s="9"/>
      <c r="Z36" s="8"/>
      <c r="AA36" s="8"/>
      <c r="AB36" s="8"/>
      <c r="AC36" s="8"/>
      <c r="AD36" s="8"/>
      <c r="AE36" s="8"/>
      <c r="AF36" s="8"/>
      <c r="AG36" s="8"/>
      <c r="AH36" s="134" t="s">
        <v>881</v>
      </c>
      <c r="AI36" s="134">
        <v>30</v>
      </c>
      <c r="AJ36" s="139">
        <v>5</v>
      </c>
      <c r="AK36" s="4"/>
      <c r="AL36" s="4"/>
      <c r="AM36" s="17" t="s">
        <v>1049</v>
      </c>
      <c r="AN36" s="17"/>
      <c r="AO36" s="17"/>
      <c r="AP36" s="17" t="s">
        <v>441</v>
      </c>
      <c r="AQ36" s="101">
        <v>30</v>
      </c>
      <c r="AR36" s="101">
        <v>6</v>
      </c>
      <c r="AS36" s="125"/>
      <c r="AT36" s="4"/>
      <c r="AU36" s="4"/>
      <c r="AV36" s="4"/>
      <c r="AW36" s="4"/>
      <c r="AX36" s="4"/>
      <c r="AY36" s="4"/>
      <c r="AZ36" s="4"/>
      <c r="BA36" s="49" t="s">
        <v>574</v>
      </c>
      <c r="BB36" s="49" t="s">
        <v>604</v>
      </c>
      <c r="BC36" s="49"/>
      <c r="BD36" s="4"/>
      <c r="BE36" s="4"/>
      <c r="BF36" s="17" t="s">
        <v>70</v>
      </c>
      <c r="BG36" s="4"/>
      <c r="BH36" s="4"/>
      <c r="BI36" s="17"/>
      <c r="BJ36" s="4"/>
      <c r="BK36" s="4"/>
      <c r="BL36" s="4"/>
      <c r="BM36" s="17" t="s">
        <v>952</v>
      </c>
      <c r="BN36" s="4"/>
      <c r="BO36" s="4"/>
    </row>
    <row r="37" spans="1:67" ht="19" thickTop="1">
      <c r="A37" s="6"/>
      <c r="B37" s="23" t="s">
        <v>983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8"/>
      <c r="AA37" s="8"/>
      <c r="AB37" s="8"/>
      <c r="AC37" s="8"/>
      <c r="AD37" s="8"/>
      <c r="AE37" s="8"/>
      <c r="AF37" s="8"/>
      <c r="AG37" s="8"/>
      <c r="AH37" s="134" t="s">
        <v>882</v>
      </c>
      <c r="AI37" s="134">
        <v>31</v>
      </c>
      <c r="AJ37" s="139">
        <v>5</v>
      </c>
      <c r="AK37" s="4"/>
      <c r="AL37" s="4"/>
      <c r="AM37" s="17" t="s">
        <v>1050</v>
      </c>
      <c r="AN37" s="17" t="s">
        <v>618</v>
      </c>
      <c r="AO37" s="17"/>
      <c r="AP37" s="17" t="s">
        <v>440</v>
      </c>
      <c r="AQ37" s="101">
        <v>31</v>
      </c>
      <c r="AR37" s="101">
        <v>6</v>
      </c>
      <c r="AS37" s="125"/>
      <c r="AT37" s="4"/>
      <c r="AU37" s="4"/>
      <c r="AV37" s="4"/>
      <c r="AW37" s="4"/>
      <c r="AX37" s="4"/>
      <c r="AY37" s="4"/>
      <c r="AZ37" s="4"/>
      <c r="BA37" s="49" t="s">
        <v>573</v>
      </c>
      <c r="BB37" s="49" t="s">
        <v>604</v>
      </c>
      <c r="BC37" s="49"/>
      <c r="BD37" s="4"/>
      <c r="BE37" s="4"/>
      <c r="BF37" s="17" t="s">
        <v>71</v>
      </c>
      <c r="BG37" s="4"/>
      <c r="BH37" s="4"/>
      <c r="BI37" s="17" t="s">
        <v>1011</v>
      </c>
      <c r="BJ37" s="4"/>
      <c r="BK37" s="4"/>
      <c r="BL37" s="4"/>
      <c r="BM37" s="17" t="s">
        <v>953</v>
      </c>
      <c r="BN37" s="4"/>
      <c r="BO37" s="4"/>
    </row>
    <row r="38" spans="1:67">
      <c r="A38" s="6"/>
      <c r="B38" s="8"/>
      <c r="C38" s="8"/>
      <c r="D38" s="8"/>
      <c r="E38" s="8"/>
      <c r="F38" s="8"/>
      <c r="G38" s="8"/>
      <c r="H38" s="8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8"/>
      <c r="AA38" s="8"/>
      <c r="AB38" s="8"/>
      <c r="AC38" s="8"/>
      <c r="AD38" s="8"/>
      <c r="AE38" s="8"/>
      <c r="AF38" s="8"/>
      <c r="AG38" s="4"/>
      <c r="AH38" s="134" t="s">
        <v>883</v>
      </c>
      <c r="AI38" s="134">
        <v>32</v>
      </c>
      <c r="AJ38" s="139">
        <v>5</v>
      </c>
      <c r="AK38" s="4"/>
      <c r="AL38" s="4"/>
      <c r="AM38" s="17" t="s">
        <v>1051</v>
      </c>
      <c r="AN38" s="17" t="s">
        <v>619</v>
      </c>
      <c r="AO38" s="17"/>
      <c r="AP38" s="17" t="s">
        <v>435</v>
      </c>
      <c r="AQ38" s="101">
        <v>32</v>
      </c>
      <c r="AR38" s="101">
        <v>6</v>
      </c>
      <c r="AS38" s="125"/>
      <c r="AT38" s="4"/>
      <c r="AU38" s="4"/>
      <c r="AV38" s="4"/>
      <c r="AW38" s="4"/>
      <c r="AX38" s="4"/>
      <c r="AY38" s="4"/>
      <c r="AZ38" s="4"/>
      <c r="BA38" s="49" t="s">
        <v>572</v>
      </c>
      <c r="BB38" s="49" t="s">
        <v>604</v>
      </c>
      <c r="BC38" s="49"/>
      <c r="BD38" s="4"/>
      <c r="BE38" s="4"/>
      <c r="BF38" s="17" t="s">
        <v>72</v>
      </c>
      <c r="BG38" s="4"/>
      <c r="BH38" s="4"/>
      <c r="BI38" s="17" t="s">
        <v>1000</v>
      </c>
      <c r="BJ38" s="4"/>
      <c r="BK38" s="4"/>
      <c r="BL38" s="4"/>
      <c r="BM38" s="17" t="s">
        <v>954</v>
      </c>
      <c r="BN38" s="4"/>
      <c r="BO38" s="4"/>
    </row>
    <row r="39" spans="1:67">
      <c r="A39" s="6"/>
      <c r="B39" s="8"/>
      <c r="C39" s="8"/>
      <c r="D39" s="24" t="s">
        <v>1279</v>
      </c>
      <c r="E39" s="290"/>
      <c r="F39" s="291"/>
      <c r="G39" s="292"/>
      <c r="H39" s="87" t="str">
        <f>IF(LEN(PlFemelRus)&gt;0,"","*")</f>
        <v>*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8"/>
      <c r="AA39" s="8"/>
      <c r="AB39" s="8"/>
      <c r="AC39" s="8"/>
      <c r="AD39" s="8"/>
      <c r="AE39" s="8"/>
      <c r="AF39" s="8"/>
      <c r="AG39" s="4"/>
      <c r="AH39" s="134" t="s">
        <v>484</v>
      </c>
      <c r="AI39" s="134">
        <v>33</v>
      </c>
      <c r="AJ39" s="139">
        <v>5</v>
      </c>
      <c r="AK39" s="4"/>
      <c r="AL39" s="4"/>
      <c r="AM39" s="17" t="s">
        <v>1052</v>
      </c>
      <c r="AN39" s="17"/>
      <c r="AO39" s="17"/>
      <c r="AP39" s="17" t="s">
        <v>436</v>
      </c>
      <c r="AQ39" s="101">
        <v>33</v>
      </c>
      <c r="AR39" s="101">
        <v>6</v>
      </c>
      <c r="AS39" s="125"/>
      <c r="AT39" s="4"/>
      <c r="AU39" s="4"/>
      <c r="AV39" s="4"/>
      <c r="AW39" s="4"/>
      <c r="AX39" s="4"/>
      <c r="AY39" s="4"/>
      <c r="AZ39" s="4"/>
      <c r="BA39" s="49">
        <v>8</v>
      </c>
      <c r="BB39" s="49"/>
      <c r="BC39" s="49"/>
      <c r="BD39" s="4"/>
      <c r="BE39" s="4"/>
      <c r="BF39" s="17" t="s">
        <v>73</v>
      </c>
      <c r="BG39" s="4"/>
      <c r="BH39" s="4"/>
      <c r="BI39" s="17"/>
      <c r="BJ39" s="4"/>
      <c r="BK39" s="4"/>
      <c r="BL39" s="4"/>
      <c r="BM39" s="17" t="s">
        <v>955</v>
      </c>
      <c r="BN39" s="4"/>
      <c r="BO39" s="4"/>
    </row>
    <row r="40" spans="1:67">
      <c r="A40" s="6"/>
      <c r="B40" s="8"/>
      <c r="C40" s="8"/>
      <c r="D40" s="24" t="s">
        <v>1280</v>
      </c>
      <c r="E40" s="290"/>
      <c r="F40" s="291"/>
      <c r="G40" s="292"/>
      <c r="H40" s="87" t="str">
        <f>IF(LEN(PlNameRus)&gt;0,"","*")</f>
        <v>*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8"/>
      <c r="AA40" s="8"/>
      <c r="AB40" s="8"/>
      <c r="AC40" s="8"/>
      <c r="AD40" s="8"/>
      <c r="AE40" s="8"/>
      <c r="AF40" s="8"/>
      <c r="AG40" s="4"/>
      <c r="AH40" s="134" t="s">
        <v>1238</v>
      </c>
      <c r="AI40" s="134">
        <v>34</v>
      </c>
      <c r="AJ40" s="139">
        <v>7</v>
      </c>
      <c r="AK40" s="4"/>
      <c r="AL40" s="4"/>
      <c r="AM40" s="17" t="s">
        <v>1053</v>
      </c>
      <c r="AN40" s="17"/>
      <c r="AO40" s="17"/>
      <c r="AP40" s="17" t="s">
        <v>437</v>
      </c>
      <c r="AQ40" s="101">
        <v>34</v>
      </c>
      <c r="AR40" s="101">
        <v>6</v>
      </c>
      <c r="AS40" s="125"/>
      <c r="AT40" s="4"/>
      <c r="AU40" s="4"/>
      <c r="AV40" s="4"/>
      <c r="AW40" s="4"/>
      <c r="AX40" s="4"/>
      <c r="AY40" s="4"/>
      <c r="AZ40" s="4"/>
      <c r="BA40" s="49" t="s">
        <v>803</v>
      </c>
      <c r="BB40" s="49" t="s">
        <v>604</v>
      </c>
      <c r="BC40" s="49"/>
      <c r="BD40" s="4"/>
      <c r="BE40" s="4"/>
      <c r="BF40" s="17" t="s">
        <v>74</v>
      </c>
      <c r="BG40" s="4"/>
      <c r="BH40" s="4"/>
      <c r="BI40" s="17" t="s">
        <v>109</v>
      </c>
      <c r="BJ40" s="4"/>
      <c r="BK40" s="4"/>
      <c r="BL40" s="4"/>
      <c r="BM40" s="17" t="s">
        <v>956</v>
      </c>
      <c r="BN40" s="4"/>
      <c r="BO40" s="4"/>
    </row>
    <row r="41" spans="1:67">
      <c r="A41" s="6"/>
      <c r="B41" s="8"/>
      <c r="C41" s="8"/>
      <c r="D41" s="24" t="s">
        <v>1281</v>
      </c>
      <c r="E41" s="355"/>
      <c r="F41" s="356"/>
      <c r="G41" s="314"/>
      <c r="H41" s="87" t="str">
        <f>IF(LEN(PlOtchestvoRus)&gt;0,"","*")</f>
        <v>*</v>
      </c>
      <c r="I41" s="8"/>
      <c r="J41" s="8"/>
      <c r="K41" s="8"/>
      <c r="L41" s="8"/>
      <c r="M41" s="87" t="str">
        <f>IF(LEN(PlpobRus)&gt;0,"","*")</f>
        <v>*</v>
      </c>
      <c r="N41" s="87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8"/>
      <c r="AA41" s="8"/>
      <c r="AB41" s="8"/>
      <c r="AC41" s="8"/>
      <c r="AD41" s="8"/>
      <c r="AE41" s="8"/>
      <c r="AF41" s="8"/>
      <c r="AG41" s="4"/>
      <c r="AH41" s="134" t="s">
        <v>884</v>
      </c>
      <c r="AI41" s="134">
        <v>35</v>
      </c>
      <c r="AJ41" s="139">
        <v>7</v>
      </c>
      <c r="AK41" s="4"/>
      <c r="AL41" s="4"/>
      <c r="AM41" s="17" t="s">
        <v>1019</v>
      </c>
      <c r="AN41" s="17" t="s">
        <v>620</v>
      </c>
      <c r="AO41" s="17"/>
      <c r="AP41" s="17" t="s">
        <v>438</v>
      </c>
      <c r="AQ41" s="101">
        <v>35</v>
      </c>
      <c r="AR41" s="101">
        <v>6</v>
      </c>
      <c r="AS41" s="125"/>
      <c r="AT41" s="4"/>
      <c r="AU41" s="4"/>
      <c r="AV41" s="4"/>
      <c r="AW41" s="4"/>
      <c r="AX41" s="4"/>
      <c r="AY41" s="4"/>
      <c r="AZ41" s="4"/>
      <c r="BA41" s="49" t="s">
        <v>802</v>
      </c>
      <c r="BB41" s="49" t="s">
        <v>604</v>
      </c>
      <c r="BC41" s="49"/>
      <c r="BD41" s="4"/>
      <c r="BE41" s="4"/>
      <c r="BF41" s="17" t="s">
        <v>75</v>
      </c>
      <c r="BG41" s="4"/>
      <c r="BH41" s="4"/>
      <c r="BI41" s="17" t="s">
        <v>110</v>
      </c>
      <c r="BJ41" s="4"/>
      <c r="BK41" s="4"/>
      <c r="BL41" s="4"/>
      <c r="BM41" s="17" t="s">
        <v>957</v>
      </c>
      <c r="BN41" s="4"/>
      <c r="BO41" s="4"/>
    </row>
    <row r="42" spans="1:67" ht="14" thickBot="1">
      <c r="A42" s="6"/>
      <c r="B42" s="8"/>
      <c r="C42" s="8"/>
      <c r="D42" s="24" t="s">
        <v>1359</v>
      </c>
      <c r="E42" s="290"/>
      <c r="F42" s="291"/>
      <c r="G42" s="291"/>
      <c r="H42" s="291"/>
      <c r="I42" s="291"/>
      <c r="J42" s="291"/>
      <c r="K42" s="292"/>
      <c r="L42" s="25" t="s">
        <v>1360</v>
      </c>
      <c r="M42" s="92"/>
      <c r="N42" s="87" t="str">
        <f>IF(LEN(PlpobRus)&gt;0,"","*")</f>
        <v>*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8"/>
      <c r="AA42" s="8"/>
      <c r="AB42" s="8"/>
      <c r="AC42" s="8"/>
      <c r="AD42" s="8"/>
      <c r="AE42" s="8"/>
      <c r="AF42" s="8"/>
      <c r="AG42" s="4"/>
      <c r="AH42" s="134" t="s">
        <v>470</v>
      </c>
      <c r="AI42" s="134">
        <v>36</v>
      </c>
      <c r="AJ42" s="139">
        <v>7</v>
      </c>
      <c r="AK42" s="4"/>
      <c r="AL42" s="4"/>
      <c r="AM42" s="17" t="s">
        <v>1054</v>
      </c>
      <c r="AN42" s="17"/>
      <c r="AO42" s="17"/>
      <c r="AP42" s="17" t="s">
        <v>439</v>
      </c>
      <c r="AQ42" s="101">
        <v>36</v>
      </c>
      <c r="AR42" s="101">
        <v>6</v>
      </c>
      <c r="AS42" s="125"/>
      <c r="AT42" s="4"/>
      <c r="AU42" s="4"/>
      <c r="AV42" s="4"/>
      <c r="AW42" s="4"/>
      <c r="AX42" s="4"/>
      <c r="AY42" s="4"/>
      <c r="AZ42" s="4"/>
      <c r="BA42" s="49" t="s">
        <v>571</v>
      </c>
      <c r="BB42" s="49" t="s">
        <v>604</v>
      </c>
      <c r="BC42" s="49"/>
      <c r="BD42" s="4"/>
      <c r="BE42" s="4"/>
      <c r="BF42" s="17" t="s">
        <v>76</v>
      </c>
      <c r="BG42" s="4"/>
      <c r="BH42" s="4"/>
      <c r="BI42" s="17" t="s">
        <v>111</v>
      </c>
      <c r="BJ42" s="4"/>
      <c r="BK42" s="4"/>
      <c r="BL42" s="4"/>
      <c r="BM42" s="17" t="s">
        <v>958</v>
      </c>
      <c r="BN42" s="4"/>
      <c r="BO42" s="4"/>
    </row>
    <row r="43" spans="1:67" ht="14" thickTop="1">
      <c r="A43" s="6"/>
      <c r="B43" s="8"/>
      <c r="C43" s="8"/>
      <c r="D43" s="8"/>
      <c r="E43" s="25" t="s">
        <v>1282</v>
      </c>
      <c r="F43" s="8"/>
      <c r="G43" s="8"/>
      <c r="H43" s="87"/>
      <c r="I43" s="8"/>
      <c r="J43" s="8"/>
      <c r="K43" s="8"/>
      <c r="L43" s="8"/>
      <c r="M43" s="8"/>
      <c r="N43" s="87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8"/>
      <c r="AA43" s="8"/>
      <c r="AB43" s="8"/>
      <c r="AC43" s="8"/>
      <c r="AD43" s="8"/>
      <c r="AE43" s="8"/>
      <c r="AF43" s="8"/>
      <c r="AG43" s="4"/>
      <c r="AH43" s="134" t="s">
        <v>488</v>
      </c>
      <c r="AI43" s="134">
        <v>37</v>
      </c>
      <c r="AJ43" s="139">
        <v>8</v>
      </c>
      <c r="AK43" s="4"/>
      <c r="AL43" s="4"/>
      <c r="AM43" s="17" t="s">
        <v>1055</v>
      </c>
      <c r="AN43" s="17"/>
      <c r="AO43" s="17"/>
      <c r="AP43" s="17" t="s">
        <v>442</v>
      </c>
      <c r="AQ43" s="101">
        <v>37</v>
      </c>
      <c r="AR43" s="101">
        <v>7</v>
      </c>
      <c r="AS43" s="125"/>
      <c r="AT43" s="4"/>
      <c r="AU43" s="4"/>
      <c r="AV43" s="4"/>
      <c r="AW43" s="4"/>
      <c r="AX43" s="4"/>
      <c r="AY43" s="4"/>
      <c r="AZ43" s="4"/>
      <c r="BA43" s="49" t="s">
        <v>570</v>
      </c>
      <c r="BB43" s="49" t="s">
        <v>604</v>
      </c>
      <c r="BC43" s="49"/>
      <c r="BD43" s="48" t="s">
        <v>820</v>
      </c>
      <c r="BE43" s="4"/>
      <c r="BF43" s="17" t="s">
        <v>77</v>
      </c>
      <c r="BG43" s="4"/>
      <c r="BH43" s="4"/>
      <c r="BI43" s="17" t="s">
        <v>112</v>
      </c>
      <c r="BJ43" s="4"/>
      <c r="BK43" s="4"/>
      <c r="BL43" s="4"/>
      <c r="BM43" s="17" t="s">
        <v>959</v>
      </c>
      <c r="BN43" s="4"/>
      <c r="BO43" s="4"/>
    </row>
    <row r="44" spans="1:67">
      <c r="A44" s="6"/>
      <c r="B44" s="8"/>
      <c r="C44" s="8"/>
      <c r="D44" s="25" t="s">
        <v>1283</v>
      </c>
      <c r="E44" s="355"/>
      <c r="F44" s="356"/>
      <c r="G44" s="314"/>
      <c r="H44" s="87" t="str">
        <f>IF(LEN(PlPropiskaSity)&gt;0,"","*")</f>
        <v>*</v>
      </c>
      <c r="I44" s="8"/>
      <c r="J44" s="8"/>
      <c r="K44" s="8"/>
      <c r="L44" s="92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8"/>
      <c r="AA44" s="8"/>
      <c r="AB44" s="8"/>
      <c r="AC44" s="8"/>
      <c r="AD44" s="8"/>
      <c r="AE44" s="8"/>
      <c r="AF44" s="8"/>
      <c r="AG44" s="4"/>
      <c r="AH44" s="134" t="s">
        <v>885</v>
      </c>
      <c r="AI44" s="134">
        <v>38</v>
      </c>
      <c r="AJ44" s="139" t="s">
        <v>811</v>
      </c>
      <c r="AK44" s="4"/>
      <c r="AL44" s="4"/>
      <c r="AM44" s="17" t="s">
        <v>1056</v>
      </c>
      <c r="AN44" s="17"/>
      <c r="AO44" s="17"/>
      <c r="AP44" s="17" t="s">
        <v>459</v>
      </c>
      <c r="AQ44" s="101">
        <v>38</v>
      </c>
      <c r="AR44" s="101">
        <v>7</v>
      </c>
      <c r="AS44" s="125"/>
      <c r="AT44" s="4"/>
      <c r="AU44" s="4"/>
      <c r="AV44" s="4"/>
      <c r="AW44" s="4"/>
      <c r="AX44" s="4"/>
      <c r="AY44" s="4"/>
      <c r="AZ44" s="4"/>
      <c r="BA44" s="49">
        <v>9</v>
      </c>
      <c r="BB44" s="49"/>
      <c r="BC44" s="49"/>
      <c r="BD44" s="49">
        <v>1</v>
      </c>
      <c r="BE44" s="4"/>
      <c r="BF44" s="17" t="s">
        <v>78</v>
      </c>
      <c r="BG44" s="4"/>
      <c r="BH44" s="4"/>
      <c r="BI44" s="17"/>
      <c r="BJ44" s="4"/>
      <c r="BK44" s="4"/>
      <c r="BL44" s="4"/>
      <c r="BM44" s="17" t="s">
        <v>960</v>
      </c>
      <c r="BN44" s="4"/>
      <c r="BO44" s="4"/>
    </row>
    <row r="45" spans="1:67">
      <c r="A45" s="6"/>
      <c r="B45" s="8"/>
      <c r="C45" s="8"/>
      <c r="D45" s="24" t="s">
        <v>1284</v>
      </c>
      <c r="E45" s="290"/>
      <c r="F45" s="291"/>
      <c r="G45" s="291"/>
      <c r="H45" s="291"/>
      <c r="I45" s="291"/>
      <c r="J45" s="291"/>
      <c r="K45" s="292"/>
      <c r="L45" s="87" t="str">
        <f>IF(LEN(PlPropiskaSteet)&gt;0,"","*")</f>
        <v>*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8"/>
      <c r="AA45" s="8"/>
      <c r="AB45" s="8"/>
      <c r="AC45" s="8"/>
      <c r="AD45" s="8"/>
      <c r="AE45" s="8"/>
      <c r="AF45" s="8"/>
      <c r="AG45" s="4"/>
      <c r="AH45" s="134" t="s">
        <v>886</v>
      </c>
      <c r="AI45" s="134">
        <v>39</v>
      </c>
      <c r="AJ45" s="139">
        <v>8</v>
      </c>
      <c r="AK45" s="4"/>
      <c r="AL45" s="4"/>
      <c r="AM45" s="17" t="s">
        <v>1057</v>
      </c>
      <c r="AN45" s="17"/>
      <c r="AO45" s="17"/>
      <c r="AP45" s="17" t="s">
        <v>458</v>
      </c>
      <c r="AQ45" s="101">
        <v>39</v>
      </c>
      <c r="AR45" s="101">
        <v>7</v>
      </c>
      <c r="AS45" s="125"/>
      <c r="AT45" s="4"/>
      <c r="AU45" s="4"/>
      <c r="AV45" s="4"/>
      <c r="AW45" s="4"/>
      <c r="AX45" s="4"/>
      <c r="AY45" s="4"/>
      <c r="AZ45" s="4"/>
      <c r="BA45" s="49" t="s">
        <v>569</v>
      </c>
      <c r="BB45" s="49" t="s">
        <v>604</v>
      </c>
      <c r="BC45" s="49"/>
      <c r="BD45" s="49" t="s">
        <v>584</v>
      </c>
      <c r="BE45" s="4"/>
      <c r="BF45" s="17" t="s">
        <v>79</v>
      </c>
      <c r="BG45" s="4"/>
      <c r="BH45" s="4"/>
      <c r="BI45" s="17" t="s">
        <v>113</v>
      </c>
      <c r="BJ45" s="4"/>
      <c r="BK45" s="4"/>
      <c r="BL45" s="4"/>
      <c r="BM45" s="17" t="s">
        <v>961</v>
      </c>
      <c r="BN45" s="4"/>
      <c r="BO45" s="4"/>
    </row>
    <row r="46" spans="1:67" ht="14" thickBot="1">
      <c r="A46" s="6"/>
      <c r="B46" s="8"/>
      <c r="C46" s="8"/>
      <c r="D46" s="25"/>
      <c r="E46" s="8"/>
      <c r="F46" s="8"/>
      <c r="G46" s="8"/>
      <c r="H46" s="8"/>
      <c r="I46" s="8"/>
      <c r="J46" s="8"/>
      <c r="K46" s="8"/>
      <c r="L46" s="8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8"/>
      <c r="AA46" s="8"/>
      <c r="AB46" s="8"/>
      <c r="AC46" s="8"/>
      <c r="AD46" s="8"/>
      <c r="AE46" s="8"/>
      <c r="AF46" s="8"/>
      <c r="AG46" s="4"/>
      <c r="AH46" s="134" t="s">
        <v>887</v>
      </c>
      <c r="AI46" s="134">
        <v>40</v>
      </c>
      <c r="AJ46" s="139">
        <v>8</v>
      </c>
      <c r="AK46" s="4"/>
      <c r="AL46" s="4"/>
      <c r="AM46" s="17" t="s">
        <v>622</v>
      </c>
      <c r="AN46" s="17" t="s">
        <v>621</v>
      </c>
      <c r="AO46" s="17"/>
      <c r="AP46" s="17" t="s">
        <v>457</v>
      </c>
      <c r="AQ46" s="101">
        <v>40</v>
      </c>
      <c r="AR46" s="101">
        <v>7</v>
      </c>
      <c r="AS46" s="125"/>
      <c r="AT46" s="4"/>
      <c r="AU46" s="4"/>
      <c r="AV46" s="4"/>
      <c r="AW46" s="4"/>
      <c r="AX46" s="4"/>
      <c r="AY46" s="4"/>
      <c r="AZ46" s="4"/>
      <c r="BA46" s="49" t="s">
        <v>568</v>
      </c>
      <c r="BB46" s="49" t="s">
        <v>604</v>
      </c>
      <c r="BC46" s="50"/>
      <c r="BD46" s="49" t="s">
        <v>560</v>
      </c>
      <c r="BE46" s="4"/>
      <c r="BF46" s="17" t="s">
        <v>80</v>
      </c>
      <c r="BG46" s="4"/>
      <c r="BH46" s="4"/>
      <c r="BI46" s="17" t="s">
        <v>1012</v>
      </c>
      <c r="BJ46" s="4"/>
      <c r="BK46" s="4"/>
      <c r="BL46" s="4"/>
      <c r="BM46" s="17" t="s">
        <v>962</v>
      </c>
      <c r="BN46" s="4"/>
      <c r="BO46" s="4"/>
    </row>
    <row r="47" spans="1:67" ht="14" thickTop="1">
      <c r="A47" s="6"/>
      <c r="B47" s="8"/>
      <c r="C47" s="8"/>
      <c r="D47" s="8"/>
      <c r="E47" s="24"/>
      <c r="F47" s="24" t="s">
        <v>1361</v>
      </c>
      <c r="G47" s="307"/>
      <c r="H47" s="308"/>
      <c r="I47" s="308"/>
      <c r="J47" s="308"/>
      <c r="K47" s="309"/>
      <c r="L47" s="87" t="str">
        <f>IF(LEN(PlDiplomRus)&gt;0,"","*")</f>
        <v>*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8"/>
      <c r="AA47" s="8"/>
      <c r="AB47" s="8"/>
      <c r="AC47" s="8"/>
      <c r="AD47" s="8"/>
      <c r="AE47" s="8"/>
      <c r="AF47" s="8"/>
      <c r="AG47" s="4"/>
      <c r="AH47" s="134" t="s">
        <v>888</v>
      </c>
      <c r="AI47" s="134">
        <v>41</v>
      </c>
      <c r="AJ47" s="139">
        <v>8</v>
      </c>
      <c r="AK47" s="4"/>
      <c r="AL47" s="4"/>
      <c r="AM47" s="17" t="s">
        <v>1058</v>
      </c>
      <c r="AN47" s="17"/>
      <c r="AO47" s="17"/>
      <c r="AP47" s="17" t="s">
        <v>456</v>
      </c>
      <c r="AQ47" s="101">
        <v>41</v>
      </c>
      <c r="AR47" s="101">
        <v>8</v>
      </c>
      <c r="AS47" s="125"/>
      <c r="AT47" s="4"/>
      <c r="AU47" s="4"/>
      <c r="AV47" s="4"/>
      <c r="AW47" s="4"/>
      <c r="AX47" s="4"/>
      <c r="AY47" s="4"/>
      <c r="AZ47" s="4"/>
      <c r="BA47" s="49">
        <v>10</v>
      </c>
      <c r="BB47" s="49"/>
      <c r="BC47" s="4"/>
      <c r="BD47" s="49" t="s">
        <v>821</v>
      </c>
      <c r="BE47" s="4"/>
      <c r="BF47" s="17" t="s">
        <v>81</v>
      </c>
      <c r="BG47" s="4"/>
      <c r="BH47" s="4"/>
      <c r="BI47" s="17" t="s">
        <v>114</v>
      </c>
      <c r="BJ47" s="4"/>
      <c r="BK47" s="4"/>
      <c r="BL47" s="4"/>
      <c r="BM47" s="17" t="s">
        <v>963</v>
      </c>
      <c r="BN47" s="4"/>
      <c r="BO47" s="4"/>
    </row>
    <row r="48" spans="1:67">
      <c r="A48" s="6"/>
      <c r="B48" s="8"/>
      <c r="C48" s="8"/>
      <c r="D48" s="8"/>
      <c r="E48" s="24"/>
      <c r="F48" s="24" t="s">
        <v>1362</v>
      </c>
      <c r="G48" s="307"/>
      <c r="H48" s="308"/>
      <c r="I48" s="308"/>
      <c r="J48" s="308"/>
      <c r="K48" s="309"/>
      <c r="L48" s="8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8"/>
      <c r="AA48" s="8"/>
      <c r="AB48" s="8"/>
      <c r="AC48" s="8"/>
      <c r="AD48" s="8"/>
      <c r="AE48" s="8"/>
      <c r="AF48" s="8"/>
      <c r="AG48" s="4"/>
      <c r="AH48" s="134" t="s">
        <v>889</v>
      </c>
      <c r="AI48" s="134">
        <v>42</v>
      </c>
      <c r="AJ48" s="139">
        <v>8</v>
      </c>
      <c r="AK48" s="4"/>
      <c r="AL48" s="4"/>
      <c r="AM48" s="17" t="s">
        <v>1059</v>
      </c>
      <c r="AN48" s="17" t="s">
        <v>623</v>
      </c>
      <c r="AO48" s="17"/>
      <c r="AP48" s="17" t="s">
        <v>455</v>
      </c>
      <c r="AQ48" s="101">
        <v>42</v>
      </c>
      <c r="AR48" s="101">
        <v>9</v>
      </c>
      <c r="AS48" s="125"/>
      <c r="AT48" s="4"/>
      <c r="AU48" s="4"/>
      <c r="AV48" s="4"/>
      <c r="AW48" s="4"/>
      <c r="AX48" s="4"/>
      <c r="AY48" s="4"/>
      <c r="AZ48" s="4"/>
      <c r="BA48" s="49" t="s">
        <v>567</v>
      </c>
      <c r="BB48" s="49" t="s">
        <v>604</v>
      </c>
      <c r="BC48" s="4"/>
      <c r="BD48" s="49" t="s">
        <v>822</v>
      </c>
      <c r="BE48" s="4"/>
      <c r="BF48" s="17" t="s">
        <v>82</v>
      </c>
      <c r="BG48" s="4"/>
      <c r="BH48" s="4"/>
      <c r="BI48" s="17" t="s">
        <v>115</v>
      </c>
      <c r="BJ48" s="4"/>
      <c r="BK48" s="4"/>
      <c r="BL48" s="4"/>
      <c r="BM48" s="17" t="s">
        <v>964</v>
      </c>
      <c r="BN48" s="4"/>
      <c r="BO48" s="4"/>
    </row>
    <row r="49" spans="1:67">
      <c r="A49" s="6"/>
      <c r="B49" s="8"/>
      <c r="C49" s="8"/>
      <c r="D49" s="8"/>
      <c r="E49" s="24"/>
      <c r="F49" s="24" t="s">
        <v>1363</v>
      </c>
      <c r="G49" s="307"/>
      <c r="H49" s="308"/>
      <c r="I49" s="308"/>
      <c r="J49" s="308"/>
      <c r="K49" s="309"/>
      <c r="L49" s="87" t="str">
        <f>IF(LEN(PlPresentJobCoAndRankRus)&gt;0,"","*")</f>
        <v>*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8"/>
      <c r="AA49" s="8"/>
      <c r="AB49" s="8"/>
      <c r="AC49" s="8"/>
      <c r="AD49" s="8"/>
      <c r="AE49" s="8"/>
      <c r="AF49" s="8"/>
      <c r="AG49" s="4"/>
      <c r="AH49" s="134" t="s">
        <v>890</v>
      </c>
      <c r="AI49" s="134">
        <v>43</v>
      </c>
      <c r="AJ49" s="139">
        <v>8</v>
      </c>
      <c r="AK49" s="4"/>
      <c r="AL49" s="4"/>
      <c r="AM49" s="17" t="s">
        <v>1060</v>
      </c>
      <c r="AN49" s="17" t="s">
        <v>624</v>
      </c>
      <c r="AO49" s="17"/>
      <c r="AP49" s="17" t="s">
        <v>454</v>
      </c>
      <c r="AQ49" s="101">
        <v>43</v>
      </c>
      <c r="AR49" s="101">
        <v>9</v>
      </c>
      <c r="AS49" s="125"/>
      <c r="AT49" s="4"/>
      <c r="AU49" s="4"/>
      <c r="AV49" s="4"/>
      <c r="AW49" s="4"/>
      <c r="AX49" s="4"/>
      <c r="AY49" s="4"/>
      <c r="AZ49" s="4"/>
      <c r="BA49" s="49" t="s">
        <v>565</v>
      </c>
      <c r="BB49" s="49" t="s">
        <v>604</v>
      </c>
      <c r="BC49" s="4"/>
      <c r="BD49" s="49" t="s">
        <v>562</v>
      </c>
      <c r="BE49" s="4"/>
      <c r="BF49" s="17" t="s">
        <v>83</v>
      </c>
      <c r="BG49" s="4"/>
      <c r="BH49" s="4"/>
      <c r="BI49" s="17" t="s">
        <v>116</v>
      </c>
      <c r="BJ49" s="4"/>
      <c r="BK49" s="4"/>
      <c r="BL49" s="4"/>
      <c r="BM49" s="17" t="s">
        <v>964</v>
      </c>
      <c r="BN49" s="4"/>
      <c r="BO49" s="4"/>
    </row>
    <row r="50" spans="1:67">
      <c r="A50" s="6"/>
      <c r="B50" s="8"/>
      <c r="C50" s="8"/>
      <c r="D50" s="8"/>
      <c r="E50" s="24"/>
      <c r="F50" s="24" t="s">
        <v>1364</v>
      </c>
      <c r="G50" s="307"/>
      <c r="H50" s="308"/>
      <c r="I50" s="308"/>
      <c r="J50" s="308"/>
      <c r="K50" s="309"/>
      <c r="L50" s="8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8"/>
      <c r="AA50" s="8"/>
      <c r="AB50" s="8"/>
      <c r="AC50" s="8"/>
      <c r="AD50" s="8"/>
      <c r="AE50" s="8"/>
      <c r="AF50" s="8"/>
      <c r="AG50" s="4"/>
      <c r="AH50" s="134" t="s">
        <v>891</v>
      </c>
      <c r="AI50" s="134">
        <v>44</v>
      </c>
      <c r="AJ50" s="139">
        <v>8</v>
      </c>
      <c r="AK50" s="4"/>
      <c r="AL50" s="4"/>
      <c r="AM50" s="17" t="s">
        <v>1061</v>
      </c>
      <c r="AN50" s="17" t="s">
        <v>625</v>
      </c>
      <c r="AO50" s="17"/>
      <c r="AP50" s="17" t="s">
        <v>453</v>
      </c>
      <c r="AQ50" s="101">
        <v>44</v>
      </c>
      <c r="AR50" s="101">
        <v>9</v>
      </c>
      <c r="AS50" s="125"/>
      <c r="AT50" s="4"/>
      <c r="AU50" s="4"/>
      <c r="AV50" s="4"/>
      <c r="AW50" s="4"/>
      <c r="AX50" s="4"/>
      <c r="AY50" s="4"/>
      <c r="AZ50" s="4"/>
      <c r="BA50" s="49" t="s">
        <v>566</v>
      </c>
      <c r="BB50" s="49" t="s">
        <v>604</v>
      </c>
      <c r="BC50" s="4"/>
      <c r="BD50" s="49" t="s">
        <v>972</v>
      </c>
      <c r="BE50" s="4"/>
      <c r="BF50" s="17" t="s">
        <v>84</v>
      </c>
      <c r="BG50" s="4"/>
      <c r="BH50" s="4"/>
      <c r="BI50" s="17" t="s">
        <v>117</v>
      </c>
      <c r="BJ50" s="4"/>
      <c r="BK50" s="4"/>
      <c r="BL50" s="4"/>
      <c r="BM50" s="17" t="s">
        <v>965</v>
      </c>
      <c r="BN50" s="4"/>
      <c r="BO50" s="4"/>
    </row>
    <row r="51" spans="1:67">
      <c r="A51" s="6"/>
      <c r="B51" s="8"/>
      <c r="C51" s="8"/>
      <c r="D51" s="8"/>
      <c r="E51" s="24"/>
      <c r="F51" s="24" t="s">
        <v>1365</v>
      </c>
      <c r="G51" s="307"/>
      <c r="H51" s="308"/>
      <c r="I51" s="308"/>
      <c r="J51" s="308"/>
      <c r="K51" s="309"/>
      <c r="L51" s="87" t="str">
        <f>IF(LEN(PlEducRus)&gt;0,"","*")</f>
        <v>*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8"/>
      <c r="AA51" s="8"/>
      <c r="AB51" s="8"/>
      <c r="AC51" s="8"/>
      <c r="AD51" s="8"/>
      <c r="AE51" s="8"/>
      <c r="AF51" s="8"/>
      <c r="AG51" s="4"/>
      <c r="AH51" s="134" t="s">
        <v>892</v>
      </c>
      <c r="AI51" s="134">
        <v>45</v>
      </c>
      <c r="AJ51" s="139">
        <v>9</v>
      </c>
      <c r="AK51" s="4"/>
      <c r="AL51" s="4"/>
      <c r="AM51" s="17" t="s">
        <v>1062</v>
      </c>
      <c r="AN51" s="17"/>
      <c r="AO51" s="17"/>
      <c r="AP51" s="17" t="s">
        <v>444</v>
      </c>
      <c r="AQ51" s="101">
        <v>45</v>
      </c>
      <c r="AR51" s="101">
        <v>8</v>
      </c>
      <c r="AS51" s="125"/>
      <c r="AT51" s="4"/>
      <c r="AU51" s="4"/>
      <c r="AV51" s="4"/>
      <c r="AW51" s="4"/>
      <c r="AX51" s="4"/>
      <c r="AY51" s="4"/>
      <c r="AZ51" s="4"/>
      <c r="BA51" s="49">
        <v>11</v>
      </c>
      <c r="BB51" s="49"/>
      <c r="BC51" s="4"/>
      <c r="BD51" s="49">
        <v>2</v>
      </c>
      <c r="BE51" s="4"/>
      <c r="BF51" s="17" t="s">
        <v>85</v>
      </c>
      <c r="BG51" s="4"/>
      <c r="BH51" s="4"/>
      <c r="BI51" s="17"/>
      <c r="BJ51" s="4"/>
      <c r="BK51" s="4"/>
      <c r="BL51" s="4"/>
      <c r="BM51" s="17" t="s">
        <v>966</v>
      </c>
      <c r="BN51" s="4"/>
      <c r="BO51" s="4"/>
    </row>
    <row r="52" spans="1:67">
      <c r="A52" s="6"/>
      <c r="B52" s="8"/>
      <c r="C52" s="8"/>
      <c r="D52" s="8"/>
      <c r="E52" s="24"/>
      <c r="F52" s="24" t="s">
        <v>1366</v>
      </c>
      <c r="G52" s="307"/>
      <c r="H52" s="308"/>
      <c r="I52" s="308"/>
      <c r="J52" s="308"/>
      <c r="K52" s="309"/>
      <c r="L52" s="87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8"/>
      <c r="AA52" s="8"/>
      <c r="AB52" s="8"/>
      <c r="AC52" s="8"/>
      <c r="AD52" s="8"/>
      <c r="AE52" s="8"/>
      <c r="AF52" s="8"/>
      <c r="AG52" s="4"/>
      <c r="AH52" s="134" t="s">
        <v>893</v>
      </c>
      <c r="AI52" s="134">
        <v>46</v>
      </c>
      <c r="AJ52" s="139">
        <v>9</v>
      </c>
      <c r="AK52" s="4"/>
      <c r="AL52" s="4"/>
      <c r="AM52" s="17" t="s">
        <v>1063</v>
      </c>
      <c r="AN52" s="17"/>
      <c r="AO52" s="17"/>
      <c r="AP52" s="17" t="s">
        <v>445</v>
      </c>
      <c r="AQ52" s="101">
        <v>46</v>
      </c>
      <c r="AR52" s="101">
        <v>10</v>
      </c>
      <c r="AS52" s="125"/>
      <c r="AT52" s="4"/>
      <c r="AU52" s="4"/>
      <c r="AV52" s="4"/>
      <c r="AW52" s="4"/>
      <c r="AX52" s="4"/>
      <c r="AY52" s="4"/>
      <c r="AZ52" s="4"/>
      <c r="BA52" s="49" t="s">
        <v>789</v>
      </c>
      <c r="BB52" s="49" t="s">
        <v>604</v>
      </c>
      <c r="BC52" s="4"/>
      <c r="BD52" s="49" t="s">
        <v>588</v>
      </c>
      <c r="BE52" s="4"/>
      <c r="BF52" s="17" t="s">
        <v>86</v>
      </c>
      <c r="BG52" s="4"/>
      <c r="BH52" s="4"/>
      <c r="BI52" s="17" t="s">
        <v>119</v>
      </c>
      <c r="BJ52" s="4"/>
      <c r="BK52" s="4"/>
      <c r="BL52" s="4"/>
      <c r="BM52" s="17" t="s">
        <v>967</v>
      </c>
      <c r="BN52" s="4"/>
      <c r="BO52" s="4"/>
    </row>
    <row r="53" spans="1:67">
      <c r="A53" s="6"/>
      <c r="B53" s="8"/>
      <c r="C53" s="8"/>
      <c r="D53" s="8"/>
      <c r="E53" s="24"/>
      <c r="F53" s="24"/>
      <c r="G53" s="26"/>
      <c r="H53" s="26"/>
      <c r="I53" s="26"/>
      <c r="J53" s="93"/>
      <c r="K53" s="93"/>
      <c r="L53" s="9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8"/>
      <c r="AA53" s="8"/>
      <c r="AB53" s="8"/>
      <c r="AC53" s="8"/>
      <c r="AD53" s="8"/>
      <c r="AE53" s="8"/>
      <c r="AF53" s="8"/>
      <c r="AG53" s="4"/>
      <c r="AH53" s="134" t="s">
        <v>894</v>
      </c>
      <c r="AI53" s="134">
        <v>47</v>
      </c>
      <c r="AJ53" s="139">
        <v>8</v>
      </c>
      <c r="AK53" s="4"/>
      <c r="AL53" s="4"/>
      <c r="AM53" s="17" t="s">
        <v>1064</v>
      </c>
      <c r="AN53" s="17"/>
      <c r="AO53" s="17"/>
      <c r="AP53" s="17" t="s">
        <v>446</v>
      </c>
      <c r="AQ53" s="101">
        <v>47</v>
      </c>
      <c r="AR53" s="101">
        <v>10</v>
      </c>
      <c r="AS53" s="125"/>
      <c r="AT53" s="4"/>
      <c r="AU53" s="4"/>
      <c r="AV53" s="4"/>
      <c r="AW53" s="4"/>
      <c r="AX53" s="4"/>
      <c r="AY53" s="4"/>
      <c r="AZ53" s="4"/>
      <c r="BA53" s="49" t="s">
        <v>563</v>
      </c>
      <c r="BB53" s="49" t="s">
        <v>604</v>
      </c>
      <c r="BC53" s="4"/>
      <c r="BD53" s="49" t="s">
        <v>823</v>
      </c>
      <c r="BE53" s="4"/>
      <c r="BF53" s="17" t="s">
        <v>87</v>
      </c>
      <c r="BG53" s="4"/>
      <c r="BH53" s="4"/>
      <c r="BI53" s="17"/>
      <c r="BJ53" s="4"/>
      <c r="BK53" s="4"/>
      <c r="BL53" s="4"/>
      <c r="BM53" s="17" t="s">
        <v>956</v>
      </c>
      <c r="BN53" s="4"/>
      <c r="BO53" s="4"/>
    </row>
    <row r="54" spans="1:67">
      <c r="A54" s="6"/>
      <c r="B54" s="8"/>
      <c r="C54" s="8"/>
      <c r="D54" s="8"/>
      <c r="E54" s="8"/>
      <c r="F54" s="24" t="s">
        <v>1285</v>
      </c>
      <c r="G54" s="290" t="s">
        <v>1415</v>
      </c>
      <c r="H54" s="310"/>
      <c r="I54" s="311"/>
      <c r="J54" s="94"/>
      <c r="K54" s="87" t="str">
        <f>IF(LEN(PlRecomendPersonRankRus)&gt;0,"","*")</f>
        <v/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8"/>
      <c r="AA54" s="8"/>
      <c r="AB54" s="8"/>
      <c r="AC54" s="8"/>
      <c r="AD54" s="8"/>
      <c r="AE54" s="8"/>
      <c r="AF54" s="8"/>
      <c r="AG54" s="4"/>
      <c r="AH54" s="134" t="s">
        <v>895</v>
      </c>
      <c r="AI54" s="134">
        <v>48</v>
      </c>
      <c r="AJ54" s="139">
        <v>8</v>
      </c>
      <c r="AK54" s="4"/>
      <c r="AL54" s="4"/>
      <c r="AM54" s="17" t="s">
        <v>1065</v>
      </c>
      <c r="AN54" s="17" t="s">
        <v>626</v>
      </c>
      <c r="AO54" s="17"/>
      <c r="AP54" s="17" t="s">
        <v>447</v>
      </c>
      <c r="AQ54" s="101">
        <v>48</v>
      </c>
      <c r="AR54" s="101">
        <v>8</v>
      </c>
      <c r="AS54" s="125"/>
      <c r="AT54" s="4"/>
      <c r="AU54" s="4"/>
      <c r="AV54" s="4"/>
      <c r="AW54" s="4"/>
      <c r="AX54" s="4"/>
      <c r="AY54" s="4"/>
      <c r="AZ54" s="4"/>
      <c r="BA54" s="49" t="s">
        <v>564</v>
      </c>
      <c r="BB54" s="49" t="s">
        <v>604</v>
      </c>
      <c r="BC54" s="4"/>
      <c r="BD54" s="49" t="s">
        <v>824</v>
      </c>
      <c r="BE54" s="4"/>
      <c r="BF54" s="17" t="s">
        <v>88</v>
      </c>
      <c r="BG54" s="4"/>
      <c r="BH54" s="4"/>
      <c r="BI54" s="17" t="s">
        <v>120</v>
      </c>
      <c r="BJ54" s="4"/>
      <c r="BK54" s="4"/>
      <c r="BL54" s="4"/>
      <c r="BM54" s="17" t="s">
        <v>968</v>
      </c>
      <c r="BN54" s="4"/>
      <c r="BO54" s="4"/>
    </row>
    <row r="55" spans="1:67" ht="14" thickBot="1">
      <c r="A55" s="6"/>
      <c r="B55" s="8"/>
      <c r="C55" s="8"/>
      <c r="D55" s="8"/>
      <c r="E55" s="8"/>
      <c r="F55" s="24" t="s">
        <v>1286</v>
      </c>
      <c r="G55" s="290"/>
      <c r="H55" s="310"/>
      <c r="I55" s="311"/>
      <c r="J55" s="94"/>
      <c r="K55" s="87" t="str">
        <f>IF(LEN(PlRecomendPersonNameRus)&gt;0,"","*")</f>
        <v>*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8"/>
      <c r="AA55" s="8"/>
      <c r="AB55" s="8"/>
      <c r="AC55" s="8"/>
      <c r="AD55" s="8"/>
      <c r="AE55" s="8"/>
      <c r="AF55" s="8"/>
      <c r="AG55" s="4"/>
      <c r="AH55" s="134" t="s">
        <v>896</v>
      </c>
      <c r="AI55" s="134">
        <v>49</v>
      </c>
      <c r="AJ55" s="139">
        <v>8</v>
      </c>
      <c r="AK55" s="4"/>
      <c r="AL55" s="4"/>
      <c r="AM55" s="17" t="s">
        <v>1066</v>
      </c>
      <c r="AN55" s="17"/>
      <c r="AO55" s="17"/>
      <c r="AP55" s="17" t="s">
        <v>448</v>
      </c>
      <c r="AQ55" s="101">
        <v>49</v>
      </c>
      <c r="AR55" s="101">
        <v>8</v>
      </c>
      <c r="AS55" s="125"/>
      <c r="AT55" s="4"/>
      <c r="AU55" s="4"/>
      <c r="AV55" s="4"/>
      <c r="AW55" s="4"/>
      <c r="AX55" s="4"/>
      <c r="AY55" s="4"/>
      <c r="AZ55" s="4"/>
      <c r="BA55" s="49" t="s">
        <v>790</v>
      </c>
      <c r="BB55" s="49" t="s">
        <v>604</v>
      </c>
      <c r="BC55" s="4"/>
      <c r="BD55" s="49" t="s">
        <v>825</v>
      </c>
      <c r="BE55" s="4"/>
      <c r="BF55" s="19" t="s">
        <v>89</v>
      </c>
      <c r="BG55" s="4"/>
      <c r="BH55" s="4"/>
      <c r="BI55" s="17" t="s">
        <v>121</v>
      </c>
      <c r="BJ55" s="4"/>
      <c r="BK55" s="4"/>
      <c r="BL55" s="4"/>
      <c r="BM55" s="17" t="s">
        <v>969</v>
      </c>
      <c r="BN55" s="4"/>
      <c r="BO55" s="4"/>
    </row>
    <row r="56" spans="1:67" ht="14" thickTop="1">
      <c r="A56" s="6"/>
      <c r="B56" s="8"/>
      <c r="C56" s="8"/>
      <c r="D56" s="8"/>
      <c r="E56" s="8"/>
      <c r="F56" s="24" t="s">
        <v>1287</v>
      </c>
      <c r="G56" s="290"/>
      <c r="H56" s="310"/>
      <c r="I56" s="310"/>
      <c r="J56" s="310"/>
      <c r="K56" s="31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8"/>
      <c r="AA56" s="8"/>
      <c r="AB56" s="8"/>
      <c r="AC56" s="8"/>
      <c r="AD56" s="8"/>
      <c r="AE56" s="8"/>
      <c r="AF56" s="8"/>
      <c r="AG56" s="4"/>
      <c r="AH56" s="134" t="s">
        <v>897</v>
      </c>
      <c r="AI56" s="134">
        <v>50</v>
      </c>
      <c r="AJ56" s="139">
        <v>9</v>
      </c>
      <c r="AK56" s="4"/>
      <c r="AL56" s="4"/>
      <c r="AM56" s="17" t="s">
        <v>1067</v>
      </c>
      <c r="AN56" s="17" t="s">
        <v>627</v>
      </c>
      <c r="AO56" s="17"/>
      <c r="AP56" s="17" t="s">
        <v>449</v>
      </c>
      <c r="AQ56" s="101">
        <v>50</v>
      </c>
      <c r="AR56" s="101">
        <v>8</v>
      </c>
      <c r="AS56" s="125"/>
      <c r="AT56" s="4"/>
      <c r="AU56" s="4"/>
      <c r="AV56" s="4"/>
      <c r="AW56" s="4"/>
      <c r="AX56" s="4"/>
      <c r="AY56" s="4"/>
      <c r="AZ56" s="4"/>
      <c r="BA56" s="49">
        <v>12</v>
      </c>
      <c r="BB56" s="49"/>
      <c r="BC56" s="4"/>
      <c r="BD56" s="49" t="s">
        <v>826</v>
      </c>
      <c r="BE56" s="4"/>
      <c r="BF56" s="4"/>
      <c r="BG56" s="4"/>
      <c r="BH56" s="4"/>
      <c r="BI56" s="17" t="s">
        <v>122</v>
      </c>
      <c r="BJ56" s="4"/>
      <c r="BK56" s="4"/>
      <c r="BL56" s="4"/>
      <c r="BM56" s="17" t="s">
        <v>970</v>
      </c>
      <c r="BN56" s="4"/>
      <c r="BO56" s="4"/>
    </row>
    <row r="57" spans="1:67">
      <c r="A57" s="6"/>
      <c r="B57" s="8"/>
      <c r="C57" s="8"/>
      <c r="D57" s="8"/>
      <c r="E57" s="8"/>
      <c r="F57" s="24" t="s">
        <v>1288</v>
      </c>
      <c r="G57" s="290"/>
      <c r="H57" s="311"/>
      <c r="I57" s="87" t="str">
        <f>IF(LEN(PlRecomendCoTelFax)&gt;0,"","*")</f>
        <v>*</v>
      </c>
      <c r="J57" s="368" t="s">
        <v>1428</v>
      </c>
      <c r="K57" s="290"/>
      <c r="L57" s="311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8"/>
      <c r="AA57" s="8"/>
      <c r="AB57" s="8"/>
      <c r="AC57" s="8"/>
      <c r="AD57" s="8"/>
      <c r="AE57" s="8"/>
      <c r="AF57" s="8"/>
      <c r="AG57" s="4"/>
      <c r="AH57" s="134" t="s">
        <v>471</v>
      </c>
      <c r="AI57" s="134">
        <v>51</v>
      </c>
      <c r="AJ57" s="139">
        <v>9</v>
      </c>
      <c r="AK57" s="4"/>
      <c r="AL57" s="4"/>
      <c r="AM57" s="17" t="s">
        <v>1068</v>
      </c>
      <c r="AN57" s="17"/>
      <c r="AO57" s="17"/>
      <c r="AP57" s="17" t="s">
        <v>450</v>
      </c>
      <c r="AQ57" s="101">
        <v>51</v>
      </c>
      <c r="AR57" s="101">
        <v>8</v>
      </c>
      <c r="AS57" s="125"/>
      <c r="AT57" s="4"/>
      <c r="AU57" s="4"/>
      <c r="AV57" s="4"/>
      <c r="AW57" s="4"/>
      <c r="AX57" s="4"/>
      <c r="AY57" s="4"/>
      <c r="AZ57" s="4"/>
      <c r="BA57" s="49" t="s">
        <v>982</v>
      </c>
      <c r="BB57" s="49" t="s">
        <v>604</v>
      </c>
      <c r="BC57" s="4"/>
      <c r="BD57" s="49">
        <v>3</v>
      </c>
      <c r="BE57" s="4"/>
      <c r="BF57" s="4"/>
      <c r="BG57" s="4"/>
      <c r="BH57" s="4"/>
      <c r="BI57" s="17"/>
      <c r="BJ57" s="4"/>
      <c r="BK57" s="4"/>
      <c r="BL57" s="4"/>
      <c r="BM57" s="17"/>
      <c r="BN57" s="4"/>
      <c r="BO57" s="4"/>
    </row>
    <row r="58" spans="1:67">
      <c r="A58" s="6"/>
      <c r="B58" s="8"/>
      <c r="C58" s="8"/>
      <c r="D58" s="8"/>
      <c r="E58" s="8"/>
      <c r="F58" s="24" t="s">
        <v>1384</v>
      </c>
      <c r="G58" s="313"/>
      <c r="H58" s="314"/>
      <c r="I58" s="8"/>
      <c r="J58" s="369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8"/>
      <c r="AA58" s="8"/>
      <c r="AB58" s="8"/>
      <c r="AC58" s="8"/>
      <c r="AD58" s="8"/>
      <c r="AE58" s="8"/>
      <c r="AF58" s="8"/>
      <c r="AG58" s="4"/>
      <c r="AH58" s="134" t="s">
        <v>486</v>
      </c>
      <c r="AI58" s="134">
        <v>52</v>
      </c>
      <c r="AJ58" s="139">
        <v>8</v>
      </c>
      <c r="AK58" s="4"/>
      <c r="AL58" s="4"/>
      <c r="AM58" s="17" t="s">
        <v>1069</v>
      </c>
      <c r="AN58" s="17"/>
      <c r="AO58" s="17"/>
      <c r="AP58" s="17" t="s">
        <v>451</v>
      </c>
      <c r="AQ58" s="101">
        <v>52</v>
      </c>
      <c r="AR58" s="101">
        <v>8</v>
      </c>
      <c r="AS58" s="125"/>
      <c r="AT58" s="4"/>
      <c r="AU58" s="4"/>
      <c r="AV58" s="4"/>
      <c r="AW58" s="4"/>
      <c r="AX58" s="4"/>
      <c r="AY58" s="4"/>
      <c r="AZ58" s="4"/>
      <c r="BA58" s="49">
        <v>13</v>
      </c>
      <c r="BB58" s="49"/>
      <c r="BC58" s="4"/>
      <c r="BD58" s="49" t="s">
        <v>586</v>
      </c>
      <c r="BE58" s="4"/>
      <c r="BF58" s="4"/>
      <c r="BG58" s="4"/>
      <c r="BH58" s="4"/>
      <c r="BI58" s="17" t="s">
        <v>118</v>
      </c>
      <c r="BJ58" s="4"/>
      <c r="BK58" s="4"/>
      <c r="BL58" s="4"/>
      <c r="BM58" s="17"/>
      <c r="BN58" s="4"/>
      <c r="BO58" s="4"/>
    </row>
    <row r="59" spans="1:67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05"/>
      <c r="Z59" s="92"/>
      <c r="AA59" s="92"/>
      <c r="AB59" s="92"/>
      <c r="AC59" s="92"/>
      <c r="AD59" s="92"/>
      <c r="AE59" s="8"/>
      <c r="AF59" s="8"/>
      <c r="AG59" s="4"/>
      <c r="AH59" s="134" t="s">
        <v>487</v>
      </c>
      <c r="AI59" s="134">
        <v>53</v>
      </c>
      <c r="AJ59" s="139">
        <v>8</v>
      </c>
      <c r="AK59" s="4"/>
      <c r="AL59" s="4"/>
      <c r="AM59" s="17" t="s">
        <v>1070</v>
      </c>
      <c r="AN59" s="17"/>
      <c r="AO59" s="17"/>
      <c r="AP59" s="17" t="s">
        <v>443</v>
      </c>
      <c r="AQ59" s="101">
        <v>53</v>
      </c>
      <c r="AR59" s="101">
        <v>8</v>
      </c>
      <c r="AS59" s="125"/>
      <c r="AT59" s="4"/>
      <c r="AU59" s="4"/>
      <c r="AV59" s="4"/>
      <c r="AW59" s="4"/>
      <c r="AX59" s="4"/>
      <c r="AY59" s="4"/>
      <c r="AZ59" s="4"/>
      <c r="BA59" s="49" t="s">
        <v>791</v>
      </c>
      <c r="BB59" s="49" t="s">
        <v>604</v>
      </c>
      <c r="BC59" s="4"/>
      <c r="BD59" s="49" t="s">
        <v>973</v>
      </c>
      <c r="BE59" s="4"/>
      <c r="BF59" s="4"/>
      <c r="BG59" s="4"/>
      <c r="BH59" s="4"/>
      <c r="BI59" s="17" t="s">
        <v>1013</v>
      </c>
      <c r="BJ59" s="4"/>
      <c r="BK59" s="4"/>
      <c r="BL59" s="4"/>
      <c r="BM59" s="17"/>
      <c r="BN59" s="4"/>
      <c r="BO59" s="4"/>
    </row>
    <row r="60" spans="1:67" ht="14" thickBot="1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05"/>
      <c r="Z60" s="92"/>
      <c r="AA60" s="92"/>
      <c r="AB60" s="92"/>
      <c r="AC60" s="92"/>
      <c r="AD60" s="92"/>
      <c r="AE60" s="8"/>
      <c r="AF60" s="8"/>
      <c r="AG60" s="4"/>
      <c r="AH60" s="134" t="s">
        <v>1239</v>
      </c>
      <c r="AI60" s="134">
        <v>54</v>
      </c>
      <c r="AJ60" s="139" t="s">
        <v>812</v>
      </c>
      <c r="AK60" s="4"/>
      <c r="AL60" s="4"/>
      <c r="AM60" s="17" t="s">
        <v>1071</v>
      </c>
      <c r="AN60" s="17" t="s">
        <v>628</v>
      </c>
      <c r="AO60" s="19"/>
      <c r="AP60" s="19" t="s">
        <v>452</v>
      </c>
      <c r="AQ60" s="103">
        <v>54</v>
      </c>
      <c r="AR60" s="103">
        <v>8</v>
      </c>
      <c r="AS60" s="125"/>
      <c r="AT60" s="4"/>
      <c r="AU60" s="4"/>
      <c r="AV60" s="4"/>
      <c r="AW60" s="4"/>
      <c r="AX60" s="4"/>
      <c r="AY60" s="4"/>
      <c r="AZ60" s="4"/>
      <c r="BA60" s="49">
        <v>14</v>
      </c>
      <c r="BB60" s="49"/>
      <c r="BC60" s="4"/>
      <c r="BD60" s="49" t="s">
        <v>974</v>
      </c>
      <c r="BE60" s="4"/>
      <c r="BF60" s="4"/>
      <c r="BG60" s="4"/>
      <c r="BH60" s="4"/>
      <c r="BI60" s="17" t="s">
        <v>1014</v>
      </c>
      <c r="BJ60" s="4"/>
      <c r="BK60" s="4"/>
      <c r="BL60" s="4"/>
      <c r="BM60" s="4"/>
      <c r="BN60" s="4"/>
      <c r="BO60" s="4"/>
    </row>
    <row r="61" spans="1:67" ht="18.75" customHeight="1" thickTop="1">
      <c r="A61" s="6"/>
      <c r="B61" s="10" t="s">
        <v>1289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05"/>
      <c r="Z61" s="92"/>
      <c r="AA61" s="106"/>
      <c r="AB61" s="106"/>
      <c r="AC61" s="106"/>
      <c r="AD61" s="92"/>
      <c r="AE61" s="8"/>
      <c r="AF61" s="8"/>
      <c r="AG61" s="4"/>
      <c r="AH61" s="134" t="s">
        <v>898</v>
      </c>
      <c r="AI61" s="134">
        <v>55</v>
      </c>
      <c r="AJ61" s="139" t="s">
        <v>812</v>
      </c>
      <c r="AK61" s="4"/>
      <c r="AL61" s="4"/>
      <c r="AM61" s="17" t="s">
        <v>1072</v>
      </c>
      <c r="AN61" s="17" t="s">
        <v>629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9" t="s">
        <v>976</v>
      </c>
      <c r="BB61" s="49" t="s">
        <v>710</v>
      </c>
      <c r="BC61" s="4"/>
      <c r="BD61" s="49">
        <v>4</v>
      </c>
      <c r="BE61" s="4"/>
      <c r="BF61" s="4"/>
      <c r="BG61" s="4"/>
      <c r="BH61" s="4"/>
      <c r="BI61" s="17" t="s">
        <v>1015</v>
      </c>
      <c r="BJ61" s="4"/>
      <c r="BK61" s="4"/>
      <c r="BL61" s="4"/>
      <c r="BM61" s="4"/>
      <c r="BN61" s="4"/>
      <c r="BO61" s="4"/>
    </row>
    <row r="62" spans="1:67" ht="14">
      <c r="A62" s="6"/>
      <c r="B62" s="27" t="s">
        <v>1290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05"/>
      <c r="Z62" s="92"/>
      <c r="AA62" s="107"/>
      <c r="AB62" s="107"/>
      <c r="AC62" s="107"/>
      <c r="AD62" s="92"/>
      <c r="AE62" s="8"/>
      <c r="AF62" s="8"/>
      <c r="AG62" s="4"/>
      <c r="AH62" s="134" t="s">
        <v>899</v>
      </c>
      <c r="AI62" s="134">
        <v>56</v>
      </c>
      <c r="AJ62" s="139" t="s">
        <v>812</v>
      </c>
      <c r="AK62" s="4"/>
      <c r="AL62" s="4"/>
      <c r="AM62" s="17" t="s">
        <v>855</v>
      </c>
      <c r="AN62" s="17"/>
      <c r="AO62" s="4"/>
      <c r="AP62" s="61"/>
      <c r="AQ62" s="61"/>
      <c r="AR62" s="61"/>
      <c r="AS62" s="61"/>
      <c r="AT62" s="4"/>
      <c r="AU62" s="4"/>
      <c r="AV62" s="4"/>
      <c r="AW62" s="4"/>
      <c r="AX62" s="4"/>
      <c r="AY62" s="4"/>
      <c r="AZ62" s="4"/>
      <c r="BA62" s="49" t="s">
        <v>977</v>
      </c>
      <c r="BB62" s="49" t="s">
        <v>710</v>
      </c>
      <c r="BC62" s="4"/>
      <c r="BD62" s="49" t="s">
        <v>827</v>
      </c>
      <c r="BE62" s="4"/>
      <c r="BF62" s="4"/>
      <c r="BG62" s="4"/>
      <c r="BH62" s="4"/>
      <c r="BI62" s="17" t="s">
        <v>998</v>
      </c>
      <c r="BJ62" s="4"/>
      <c r="BK62" s="4"/>
      <c r="BL62" s="4"/>
      <c r="BM62" s="4"/>
      <c r="BN62" s="4"/>
      <c r="BO62" s="4"/>
    </row>
    <row r="63" spans="1:67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28"/>
      <c r="N63" s="29"/>
      <c r="O63" s="29"/>
      <c r="P63" s="30" t="s">
        <v>1368</v>
      </c>
      <c r="Q63" s="30"/>
      <c r="R63" s="30"/>
      <c r="S63" s="30"/>
      <c r="T63" s="31"/>
      <c r="U63" s="8"/>
      <c r="V63" s="8"/>
      <c r="W63" s="8"/>
      <c r="X63" s="8"/>
      <c r="Y63" s="105"/>
      <c r="Z63" s="92"/>
      <c r="AA63" s="107"/>
      <c r="AB63" s="107"/>
      <c r="AC63" s="107"/>
      <c r="AD63" s="92"/>
      <c r="AE63" s="8"/>
      <c r="AF63" s="8"/>
      <c r="AG63" s="4"/>
      <c r="AH63" s="134" t="s">
        <v>900</v>
      </c>
      <c r="AI63" s="134">
        <v>57</v>
      </c>
      <c r="AJ63" s="139" t="s">
        <v>812</v>
      </c>
      <c r="AK63" s="4"/>
      <c r="AL63" s="4"/>
      <c r="AM63" s="17" t="s">
        <v>1073</v>
      </c>
      <c r="AN63" s="17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9" t="s">
        <v>792</v>
      </c>
      <c r="BB63" s="49" t="s">
        <v>710</v>
      </c>
      <c r="BC63" s="4"/>
      <c r="BD63" s="49">
        <v>5</v>
      </c>
      <c r="BE63" s="4"/>
      <c r="BF63" s="4"/>
      <c r="BG63" s="4"/>
      <c r="BH63" s="4"/>
      <c r="BI63" s="17"/>
      <c r="BJ63" s="4"/>
      <c r="BK63" s="4"/>
      <c r="BL63" s="4"/>
      <c r="BM63" s="4"/>
      <c r="BN63" s="4"/>
      <c r="BO63" s="4"/>
    </row>
    <row r="64" spans="1:67" ht="14" thickBot="1">
      <c r="A64" s="6"/>
      <c r="B64" s="8"/>
      <c r="C64" s="312" t="s">
        <v>1291</v>
      </c>
      <c r="D64" s="312"/>
      <c r="E64" s="312" t="s">
        <v>1292</v>
      </c>
      <c r="F64" s="312"/>
      <c r="G64" s="312" t="s">
        <v>753</v>
      </c>
      <c r="H64" s="312"/>
      <c r="I64" s="32" t="s">
        <v>1293</v>
      </c>
      <c r="J64" s="312" t="s">
        <v>1294</v>
      </c>
      <c r="K64" s="312"/>
      <c r="L64" s="312"/>
      <c r="M64" s="312" t="s">
        <v>1295</v>
      </c>
      <c r="N64" s="312"/>
      <c r="O64" s="312" t="s">
        <v>1296</v>
      </c>
      <c r="P64" s="312"/>
      <c r="Q64" s="312" t="s">
        <v>1297</v>
      </c>
      <c r="R64" s="312"/>
      <c r="S64" s="33" t="s">
        <v>1298</v>
      </c>
      <c r="T64" s="33" t="s">
        <v>1299</v>
      </c>
      <c r="U64" s="312" t="s">
        <v>1300</v>
      </c>
      <c r="V64" s="312"/>
      <c r="W64" s="312" t="s">
        <v>1301</v>
      </c>
      <c r="X64" s="312"/>
      <c r="Y64" s="108"/>
      <c r="Z64" s="106"/>
      <c r="AA64" s="109"/>
      <c r="AB64" s="110"/>
      <c r="AC64" s="109"/>
      <c r="AD64" s="111"/>
      <c r="AE64" s="84"/>
      <c r="AF64" s="8"/>
      <c r="AG64" s="4"/>
      <c r="AH64" s="134" t="s">
        <v>901</v>
      </c>
      <c r="AI64" s="134">
        <v>58</v>
      </c>
      <c r="AJ64" s="139" t="s">
        <v>812</v>
      </c>
      <c r="AK64" s="4"/>
      <c r="AL64" s="4"/>
      <c r="AM64" s="17" t="s">
        <v>1074</v>
      </c>
      <c r="AN64" s="17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9" t="s">
        <v>793</v>
      </c>
      <c r="BB64" s="49" t="s">
        <v>710</v>
      </c>
      <c r="BC64" s="4"/>
      <c r="BD64" s="49" t="s">
        <v>587</v>
      </c>
      <c r="BE64" s="4"/>
      <c r="BF64" s="4"/>
      <c r="BG64" s="4"/>
      <c r="BH64" s="4"/>
      <c r="BI64" s="17" t="s">
        <v>125</v>
      </c>
      <c r="BJ64" s="4"/>
      <c r="BK64" s="4"/>
      <c r="BL64" s="4"/>
      <c r="BM64" s="4"/>
      <c r="BN64" s="4"/>
      <c r="BO64" s="4"/>
    </row>
    <row r="65" spans="1:67">
      <c r="A65" s="88">
        <v>1</v>
      </c>
      <c r="B65" s="83" t="str">
        <f>IF(PlSex="Male","Wife:","Husband:")</f>
        <v>Husband:</v>
      </c>
      <c r="C65" s="325"/>
      <c r="D65" s="318"/>
      <c r="E65" s="317"/>
      <c r="F65" s="318"/>
      <c r="G65" s="235"/>
      <c r="H65" s="235"/>
      <c r="I65" s="323"/>
      <c r="J65" s="317"/>
      <c r="K65" s="341"/>
      <c r="L65" s="342"/>
      <c r="M65" s="231" t="s">
        <v>1350</v>
      </c>
      <c r="N65" s="231"/>
      <c r="O65" s="317"/>
      <c r="P65" s="341"/>
      <c r="Q65" s="317"/>
      <c r="R65" s="341"/>
      <c r="S65" s="343"/>
      <c r="T65" s="235"/>
      <c r="U65" s="235"/>
      <c r="V65" s="235"/>
      <c r="W65" s="235"/>
      <c r="X65" s="340"/>
      <c r="Y65" s="112"/>
      <c r="Z65" s="146">
        <f>IF(PlTheirsNumber="1",-1,0)</f>
        <v>0</v>
      </c>
      <c r="AA65" s="147">
        <f>IF(B65="Wife:",1,2)</f>
        <v>2</v>
      </c>
      <c r="AB65" s="148">
        <f>LEN(C65)*LEN(E65)</f>
        <v>0</v>
      </c>
      <c r="AC65" s="147" t="str">
        <f>IF(AB65=0,"None", "1 " &amp; B65 &amp; C65 &amp; " " &amp; E65 &amp; "  " &amp; G65)</f>
        <v>None</v>
      </c>
      <c r="AD65" s="149"/>
      <c r="AE65" s="85"/>
      <c r="AF65" s="8"/>
      <c r="AG65" s="4"/>
      <c r="AH65" s="134" t="s">
        <v>902</v>
      </c>
      <c r="AI65" s="134">
        <v>59</v>
      </c>
      <c r="AJ65" s="139" t="s">
        <v>813</v>
      </c>
      <c r="AK65" s="4"/>
      <c r="AL65" s="4"/>
      <c r="AM65" s="17" t="s">
        <v>1075</v>
      </c>
      <c r="AN65" s="17" t="s">
        <v>630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9" t="s">
        <v>978</v>
      </c>
      <c r="BB65" s="49" t="s">
        <v>710</v>
      </c>
      <c r="BC65" s="4"/>
      <c r="BD65" s="49" t="s">
        <v>828</v>
      </c>
      <c r="BE65" s="4"/>
      <c r="BF65" s="4"/>
      <c r="BG65" s="4"/>
      <c r="BH65" s="4"/>
      <c r="BI65" s="17" t="s">
        <v>126</v>
      </c>
      <c r="BJ65" s="4"/>
      <c r="BK65" s="4"/>
      <c r="BL65" s="4"/>
      <c r="BM65" s="4"/>
      <c r="BN65" s="4"/>
      <c r="BO65" s="4"/>
    </row>
    <row r="66" spans="1:67" ht="14" thickBot="1">
      <c r="A66" s="88"/>
      <c r="B66" s="83" t="str">
        <f>IF(PlSex="Male","Жена:","Муж:")</f>
        <v>Муж:</v>
      </c>
      <c r="C66" s="282"/>
      <c r="D66" s="273"/>
      <c r="E66" s="315"/>
      <c r="F66" s="316"/>
      <c r="G66" s="273"/>
      <c r="H66" s="273"/>
      <c r="I66" s="324"/>
      <c r="J66" s="273"/>
      <c r="K66" s="273"/>
      <c r="L66" s="273"/>
      <c r="M66" s="232"/>
      <c r="N66" s="232"/>
      <c r="O66" s="273"/>
      <c r="P66" s="273"/>
      <c r="Q66" s="273"/>
      <c r="R66" s="273"/>
      <c r="S66" s="344"/>
      <c r="T66" s="327"/>
      <c r="U66" s="273"/>
      <c r="V66" s="273"/>
      <c r="W66" s="273"/>
      <c r="X66" s="336"/>
      <c r="Y66" s="112"/>
      <c r="Z66" s="146"/>
      <c r="AA66" s="147"/>
      <c r="AB66" s="150">
        <f>AB65 * LEN(C66) * LEN(E66)</f>
        <v>0</v>
      </c>
      <c r="AC66" s="147"/>
      <c r="AD66" s="149"/>
      <c r="AE66" s="85"/>
      <c r="AF66" s="8"/>
      <c r="AG66" s="4"/>
      <c r="AH66" s="134" t="s">
        <v>903</v>
      </c>
      <c r="AI66" s="134">
        <v>60</v>
      </c>
      <c r="AJ66" s="139" t="s">
        <v>813</v>
      </c>
      <c r="AK66" s="4"/>
      <c r="AL66" s="4"/>
      <c r="AM66" s="17" t="s">
        <v>1076</v>
      </c>
      <c r="AN66" s="17" t="s">
        <v>631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9" t="s">
        <v>794</v>
      </c>
      <c r="BB66" s="49" t="s">
        <v>710</v>
      </c>
      <c r="BC66" s="4"/>
      <c r="BD66" s="49" t="s">
        <v>581</v>
      </c>
      <c r="BE66" s="4"/>
      <c r="BF66" s="4"/>
      <c r="BG66" s="4"/>
      <c r="BH66" s="4"/>
      <c r="BI66" s="17" t="s">
        <v>988</v>
      </c>
      <c r="BJ66" s="4"/>
      <c r="BK66" s="4"/>
      <c r="BL66" s="4"/>
      <c r="BM66" s="4"/>
      <c r="BN66" s="4"/>
      <c r="BO66" s="4"/>
    </row>
    <row r="67" spans="1:67">
      <c r="A67" s="88">
        <v>2</v>
      </c>
      <c r="B67" s="34" t="s">
        <v>1424</v>
      </c>
      <c r="C67" s="325"/>
      <c r="D67" s="318"/>
      <c r="E67" s="317"/>
      <c r="F67" s="318"/>
      <c r="G67" s="235"/>
      <c r="H67" s="235"/>
      <c r="I67" s="323"/>
      <c r="J67" s="235"/>
      <c r="K67" s="235"/>
      <c r="L67" s="235"/>
      <c r="M67" s="231" t="s">
        <v>1350</v>
      </c>
      <c r="N67" s="231"/>
      <c r="O67" s="235"/>
      <c r="P67" s="235"/>
      <c r="Q67" s="235"/>
      <c r="R67" s="235"/>
      <c r="S67" s="235"/>
      <c r="T67" s="235"/>
      <c r="U67" s="332"/>
      <c r="V67" s="332"/>
      <c r="W67" s="332"/>
      <c r="X67" s="333"/>
      <c r="Y67" s="112"/>
      <c r="Z67" s="146">
        <f>IF(PlTheirsNumber="2",-1,0)</f>
        <v>0</v>
      </c>
      <c r="AA67" s="147">
        <v>4</v>
      </c>
      <c r="AB67" s="148">
        <f>LEN(C67)*LEN(E67)</f>
        <v>0</v>
      </c>
      <c r="AC67" s="147" t="str">
        <f t="shared" ref="AC67:AC83" si="0">IF(AB67=0,"None", "1 " &amp; B67 &amp; C67 &amp; " " &amp; E67 &amp; "  " &amp; G67)</f>
        <v>None</v>
      </c>
      <c r="AD67" s="149"/>
      <c r="AE67" s="85"/>
      <c r="AF67" s="8"/>
      <c r="AG67" s="4"/>
      <c r="AH67" s="134" t="s">
        <v>904</v>
      </c>
      <c r="AI67" s="134">
        <v>61</v>
      </c>
      <c r="AJ67" s="139" t="s">
        <v>813</v>
      </c>
      <c r="AK67" s="4"/>
      <c r="AL67" s="4"/>
      <c r="AM67" s="17" t="s">
        <v>1077</v>
      </c>
      <c r="AN67" s="17" t="s">
        <v>632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9" t="s">
        <v>979</v>
      </c>
      <c r="BB67" s="49" t="s">
        <v>710</v>
      </c>
      <c r="BC67" s="4"/>
      <c r="BD67" s="49" t="s">
        <v>580</v>
      </c>
      <c r="BE67" s="4"/>
      <c r="BF67" s="4"/>
      <c r="BG67" s="4"/>
      <c r="BH67" s="4"/>
      <c r="BI67" s="17" t="s">
        <v>127</v>
      </c>
      <c r="BJ67" s="4"/>
      <c r="BK67" s="4"/>
      <c r="BL67" s="4"/>
      <c r="BM67" s="4"/>
      <c r="BN67" s="4"/>
      <c r="BO67" s="4"/>
    </row>
    <row r="68" spans="1:67" ht="14" thickBot="1">
      <c r="A68" s="88"/>
      <c r="B68" s="34" t="s">
        <v>1369</v>
      </c>
      <c r="C68" s="282"/>
      <c r="D68" s="273"/>
      <c r="E68" s="315"/>
      <c r="F68" s="316"/>
      <c r="G68" s="273"/>
      <c r="H68" s="273"/>
      <c r="I68" s="324"/>
      <c r="J68" s="273"/>
      <c r="K68" s="273"/>
      <c r="L68" s="273"/>
      <c r="M68" s="232"/>
      <c r="N68" s="232"/>
      <c r="O68" s="273"/>
      <c r="P68" s="273"/>
      <c r="Q68" s="273"/>
      <c r="R68" s="273"/>
      <c r="S68" s="327"/>
      <c r="T68" s="327"/>
      <c r="U68" s="337"/>
      <c r="V68" s="337"/>
      <c r="W68" s="337"/>
      <c r="X68" s="338"/>
      <c r="Y68" s="112"/>
      <c r="Z68" s="146"/>
      <c r="AA68" s="147"/>
      <c r="AB68" s="150">
        <f>AB67 * LEN(C68) * LEN(E68)</f>
        <v>0</v>
      </c>
      <c r="AC68" s="147"/>
      <c r="AD68" s="149"/>
      <c r="AE68" s="85"/>
      <c r="AF68" s="8"/>
      <c r="AG68" s="4"/>
      <c r="AH68" s="134" t="s">
        <v>905</v>
      </c>
      <c r="AI68" s="134">
        <v>62</v>
      </c>
      <c r="AJ68" s="139" t="s">
        <v>813</v>
      </c>
      <c r="AK68" s="4"/>
      <c r="AL68" s="4"/>
      <c r="AM68" s="17" t="s">
        <v>1078</v>
      </c>
      <c r="AN68" s="17" t="s">
        <v>633</v>
      </c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9" t="s">
        <v>795</v>
      </c>
      <c r="BB68" s="49" t="s">
        <v>710</v>
      </c>
      <c r="BC68" s="4"/>
      <c r="BD68" s="49" t="s">
        <v>579</v>
      </c>
      <c r="BE68" s="4"/>
      <c r="BF68" s="4"/>
      <c r="BG68" s="4"/>
      <c r="BH68" s="4"/>
      <c r="BI68" s="17" t="s">
        <v>989</v>
      </c>
      <c r="BJ68" s="4"/>
      <c r="BK68" s="4"/>
      <c r="BL68" s="4"/>
      <c r="BM68" s="4"/>
      <c r="BN68" s="4"/>
      <c r="BO68" s="4"/>
    </row>
    <row r="69" spans="1:67">
      <c r="A69" s="88">
        <v>3</v>
      </c>
      <c r="B69" s="34" t="s">
        <v>1423</v>
      </c>
      <c r="C69" s="325"/>
      <c r="D69" s="318"/>
      <c r="E69" s="317"/>
      <c r="F69" s="318"/>
      <c r="G69" s="235"/>
      <c r="H69" s="235"/>
      <c r="I69" s="323"/>
      <c r="J69" s="235"/>
      <c r="K69" s="235"/>
      <c r="L69" s="235"/>
      <c r="M69" s="231" t="s">
        <v>1350</v>
      </c>
      <c r="N69" s="231"/>
      <c r="O69" s="235"/>
      <c r="P69" s="235"/>
      <c r="Q69" s="235"/>
      <c r="R69" s="235"/>
      <c r="S69" s="235"/>
      <c r="T69" s="235"/>
      <c r="U69" s="327"/>
      <c r="V69" s="327"/>
      <c r="W69" s="327"/>
      <c r="X69" s="339"/>
      <c r="Y69" s="112"/>
      <c r="Z69" s="146">
        <f>IF(PlTheirsNumber="3",-1,0)</f>
        <v>0</v>
      </c>
      <c r="AA69" s="147">
        <v>3</v>
      </c>
      <c r="AB69" s="148">
        <f>LEN(C69)*LEN(E69)</f>
        <v>0</v>
      </c>
      <c r="AC69" s="147" t="str">
        <f t="shared" si="0"/>
        <v>None</v>
      </c>
      <c r="AD69" s="149"/>
      <c r="AE69" s="85"/>
      <c r="AF69" s="8"/>
      <c r="AG69" s="4"/>
      <c r="AH69" s="134" t="s">
        <v>906</v>
      </c>
      <c r="AI69" s="134">
        <v>63</v>
      </c>
      <c r="AJ69" s="139" t="s">
        <v>813</v>
      </c>
      <c r="AK69" s="4"/>
      <c r="AL69" s="4"/>
      <c r="AM69" s="17" t="s">
        <v>1079</v>
      </c>
      <c r="AN69" s="17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9">
        <v>15</v>
      </c>
      <c r="BB69" s="49"/>
      <c r="BC69" s="4"/>
      <c r="BD69" s="49" t="s">
        <v>578</v>
      </c>
      <c r="BE69" s="4"/>
      <c r="BF69" s="4"/>
      <c r="BG69" s="4"/>
      <c r="BH69" s="4"/>
      <c r="BI69" s="17" t="s">
        <v>987</v>
      </c>
      <c r="BJ69" s="4"/>
      <c r="BK69" s="4"/>
      <c r="BL69" s="4"/>
      <c r="BM69" s="4"/>
      <c r="BN69" s="4"/>
      <c r="BO69" s="4"/>
    </row>
    <row r="70" spans="1:67" ht="14" thickBot="1">
      <c r="A70" s="88"/>
      <c r="B70" s="34" t="s">
        <v>1370</v>
      </c>
      <c r="C70" s="282"/>
      <c r="D70" s="273"/>
      <c r="E70" s="315"/>
      <c r="F70" s="316"/>
      <c r="G70" s="273"/>
      <c r="H70" s="273"/>
      <c r="I70" s="324"/>
      <c r="J70" s="273"/>
      <c r="K70" s="273"/>
      <c r="L70" s="273"/>
      <c r="M70" s="232"/>
      <c r="N70" s="232"/>
      <c r="O70" s="273"/>
      <c r="P70" s="273"/>
      <c r="Q70" s="273"/>
      <c r="R70" s="273"/>
      <c r="S70" s="327"/>
      <c r="T70" s="327"/>
      <c r="U70" s="273"/>
      <c r="V70" s="273"/>
      <c r="W70" s="273"/>
      <c r="X70" s="336"/>
      <c r="Y70" s="112"/>
      <c r="Z70" s="146"/>
      <c r="AA70" s="147"/>
      <c r="AB70" s="148">
        <f>AB69 * LEN(C70) * LEN(E70)</f>
        <v>0</v>
      </c>
      <c r="AC70" s="147"/>
      <c r="AD70" s="149"/>
      <c r="AE70" s="85"/>
      <c r="AF70" s="8"/>
      <c r="AG70" s="4"/>
      <c r="AH70" s="134" t="s">
        <v>907</v>
      </c>
      <c r="AI70" s="134">
        <v>64</v>
      </c>
      <c r="AJ70" s="139" t="s">
        <v>813</v>
      </c>
      <c r="AK70" s="4"/>
      <c r="AL70" s="4"/>
      <c r="AM70" s="17" t="s">
        <v>1080</v>
      </c>
      <c r="AN70" s="17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9" t="s">
        <v>797</v>
      </c>
      <c r="BB70" s="49" t="s">
        <v>664</v>
      </c>
      <c r="BC70" s="4"/>
      <c r="BD70" s="49" t="s">
        <v>577</v>
      </c>
      <c r="BE70" s="4"/>
      <c r="BF70" s="4"/>
      <c r="BG70" s="4"/>
      <c r="BH70" s="4"/>
      <c r="BI70" s="17" t="s">
        <v>991</v>
      </c>
      <c r="BJ70" s="4"/>
      <c r="BK70" s="4"/>
      <c r="BL70" s="4"/>
      <c r="BM70" s="4"/>
      <c r="BN70" s="4"/>
      <c r="BO70" s="4"/>
    </row>
    <row r="71" spans="1:67">
      <c r="A71" s="88">
        <v>4</v>
      </c>
      <c r="B71" s="34" t="s">
        <v>1422</v>
      </c>
      <c r="C71" s="328"/>
      <c r="D71" s="329"/>
      <c r="E71" s="330"/>
      <c r="F71" s="331"/>
      <c r="G71" s="235"/>
      <c r="H71" s="235"/>
      <c r="I71" s="323"/>
      <c r="J71" s="235"/>
      <c r="K71" s="235"/>
      <c r="L71" s="235"/>
      <c r="M71" s="231" t="s">
        <v>1350</v>
      </c>
      <c r="N71" s="231"/>
      <c r="O71" s="235"/>
      <c r="P71" s="235"/>
      <c r="Q71" s="235"/>
      <c r="R71" s="235"/>
      <c r="S71" s="235"/>
      <c r="T71" s="235"/>
      <c r="U71" s="332"/>
      <c r="V71" s="332"/>
      <c r="W71" s="332"/>
      <c r="X71" s="333"/>
      <c r="Y71" s="112"/>
      <c r="Z71" s="146">
        <f>IF(PlTheirsNumber="4",-1,0)</f>
        <v>0</v>
      </c>
      <c r="AA71" s="147">
        <v>0</v>
      </c>
      <c r="AB71" s="148">
        <f>LEN(C71)*LEN(E71)</f>
        <v>0</v>
      </c>
      <c r="AC71" s="147" t="str">
        <f t="shared" si="0"/>
        <v>None</v>
      </c>
      <c r="AD71" s="151" t="str">
        <f>IF(LEN(C71)&gt;0,"1","0")</f>
        <v>0</v>
      </c>
      <c r="AE71" s="85"/>
      <c r="AF71" s="8"/>
      <c r="AG71" s="4"/>
      <c r="AH71" s="134" t="s">
        <v>908</v>
      </c>
      <c r="AI71" s="134">
        <v>65</v>
      </c>
      <c r="AJ71" s="139" t="s">
        <v>813</v>
      </c>
      <c r="AK71" s="4"/>
      <c r="AL71" s="4"/>
      <c r="AM71" s="17" t="s">
        <v>1081</v>
      </c>
      <c r="AN71" s="17" t="s">
        <v>634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9" t="s">
        <v>798</v>
      </c>
      <c r="BB71" s="49" t="s">
        <v>664</v>
      </c>
      <c r="BC71" s="4"/>
      <c r="BD71" s="49">
        <v>6</v>
      </c>
      <c r="BE71" s="4"/>
      <c r="BF71" s="4"/>
      <c r="BG71" s="4"/>
      <c r="BH71" s="4"/>
      <c r="BI71" s="17" t="s">
        <v>992</v>
      </c>
      <c r="BJ71" s="4"/>
      <c r="BK71" s="4"/>
      <c r="BL71" s="4"/>
      <c r="BM71" s="4"/>
      <c r="BN71" s="4"/>
      <c r="BO71" s="4"/>
    </row>
    <row r="72" spans="1:67" ht="14" thickBot="1">
      <c r="A72" s="88"/>
      <c r="B72" s="34" t="s">
        <v>1302</v>
      </c>
      <c r="C72" s="282"/>
      <c r="D72" s="273"/>
      <c r="E72" s="315"/>
      <c r="F72" s="316"/>
      <c r="G72" s="273"/>
      <c r="H72" s="273"/>
      <c r="I72" s="324"/>
      <c r="J72" s="273"/>
      <c r="K72" s="273"/>
      <c r="L72" s="273"/>
      <c r="M72" s="232"/>
      <c r="N72" s="232"/>
      <c r="O72" s="273"/>
      <c r="P72" s="273"/>
      <c r="Q72" s="273"/>
      <c r="R72" s="273"/>
      <c r="S72" s="327"/>
      <c r="T72" s="327"/>
      <c r="U72" s="337"/>
      <c r="V72" s="337"/>
      <c r="W72" s="337"/>
      <c r="X72" s="338"/>
      <c r="Y72" s="112"/>
      <c r="Z72" s="146"/>
      <c r="AA72" s="147"/>
      <c r="AB72" s="148">
        <f>AB71 * LEN(C72) * LEN(E72)</f>
        <v>0</v>
      </c>
      <c r="AC72" s="147"/>
      <c r="AD72" s="151"/>
      <c r="AE72" s="85"/>
      <c r="AF72" s="8"/>
      <c r="AG72" s="4"/>
      <c r="AH72" s="134" t="s">
        <v>909</v>
      </c>
      <c r="AI72" s="134">
        <v>66</v>
      </c>
      <c r="AJ72" s="139" t="s">
        <v>813</v>
      </c>
      <c r="AK72" s="4"/>
      <c r="AL72" s="4"/>
      <c r="AM72" s="17" t="s">
        <v>1082</v>
      </c>
      <c r="AN72" s="17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9" t="s">
        <v>799</v>
      </c>
      <c r="BB72" s="49" t="s">
        <v>664</v>
      </c>
      <c r="BC72" s="4"/>
      <c r="BD72" s="49" t="s">
        <v>594</v>
      </c>
      <c r="BE72" s="4"/>
      <c r="BF72" s="4"/>
      <c r="BG72" s="4"/>
      <c r="BH72" s="4"/>
      <c r="BI72" s="17" t="s">
        <v>993</v>
      </c>
      <c r="BJ72" s="4"/>
      <c r="BK72" s="4"/>
      <c r="BL72" s="4"/>
      <c r="BM72" s="4"/>
      <c r="BN72" s="4"/>
      <c r="BO72" s="4"/>
    </row>
    <row r="73" spans="1:67">
      <c r="A73" s="88">
        <v>5</v>
      </c>
      <c r="B73" s="34" t="s">
        <v>1422</v>
      </c>
      <c r="C73" s="325"/>
      <c r="D73" s="318"/>
      <c r="E73" s="317"/>
      <c r="F73" s="318"/>
      <c r="G73" s="235"/>
      <c r="H73" s="235"/>
      <c r="I73" s="323"/>
      <c r="J73" s="235"/>
      <c r="K73" s="235"/>
      <c r="L73" s="235"/>
      <c r="M73" s="231" t="s">
        <v>1350</v>
      </c>
      <c r="N73" s="231"/>
      <c r="O73" s="235"/>
      <c r="P73" s="235"/>
      <c r="Q73" s="235"/>
      <c r="R73" s="235"/>
      <c r="S73" s="235"/>
      <c r="T73" s="235"/>
      <c r="U73" s="327"/>
      <c r="V73" s="327"/>
      <c r="W73" s="327"/>
      <c r="X73" s="339"/>
      <c r="Y73" s="112"/>
      <c r="Z73" s="146">
        <f>IF(PlTheirsNumber="5",-1,0)</f>
        <v>0</v>
      </c>
      <c r="AA73" s="147">
        <v>0</v>
      </c>
      <c r="AB73" s="148">
        <f>LEN(C73)*LEN(E73)</f>
        <v>0</v>
      </c>
      <c r="AC73" s="147" t="str">
        <f t="shared" si="0"/>
        <v>None</v>
      </c>
      <c r="AD73" s="151" t="str">
        <f>IF(LEN(C73)&gt;0,"1","0")</f>
        <v>0</v>
      </c>
      <c r="AE73" s="85"/>
      <c r="AF73" s="8"/>
      <c r="AG73" s="4"/>
      <c r="AH73" s="134" t="s">
        <v>910</v>
      </c>
      <c r="AI73" s="134">
        <v>67</v>
      </c>
      <c r="AJ73" s="139" t="s">
        <v>813</v>
      </c>
      <c r="AK73" s="4"/>
      <c r="AL73" s="4"/>
      <c r="AM73" s="17" t="s">
        <v>1083</v>
      </c>
      <c r="AN73" s="17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9" t="s">
        <v>980</v>
      </c>
      <c r="BB73" s="49" t="s">
        <v>664</v>
      </c>
      <c r="BC73" s="4"/>
      <c r="BD73" s="49" t="s">
        <v>576</v>
      </c>
      <c r="BE73" s="4"/>
      <c r="BF73" s="4"/>
      <c r="BG73" s="4"/>
      <c r="BH73" s="4"/>
      <c r="BI73" s="17"/>
      <c r="BJ73" s="4"/>
      <c r="BK73" s="4"/>
      <c r="BL73" s="4"/>
      <c r="BM73" s="4"/>
      <c r="BN73" s="4"/>
      <c r="BO73" s="4"/>
    </row>
    <row r="74" spans="1:67" ht="14" thickBot="1">
      <c r="A74" s="88"/>
      <c r="B74" s="34" t="s">
        <v>1302</v>
      </c>
      <c r="C74" s="282"/>
      <c r="D74" s="273"/>
      <c r="E74" s="315"/>
      <c r="F74" s="316"/>
      <c r="G74" s="273"/>
      <c r="H74" s="273"/>
      <c r="I74" s="324"/>
      <c r="J74" s="273"/>
      <c r="K74" s="273"/>
      <c r="L74" s="273"/>
      <c r="M74" s="232"/>
      <c r="N74" s="232"/>
      <c r="O74" s="273"/>
      <c r="P74" s="273"/>
      <c r="Q74" s="273"/>
      <c r="R74" s="273"/>
      <c r="S74" s="327"/>
      <c r="T74" s="327"/>
      <c r="U74" s="273"/>
      <c r="V74" s="273"/>
      <c r="W74" s="273"/>
      <c r="X74" s="336"/>
      <c r="Y74" s="112"/>
      <c r="Z74" s="146"/>
      <c r="AA74" s="147"/>
      <c r="AB74" s="148">
        <f>AB73 * LEN(C74) * LEN(E74)</f>
        <v>0</v>
      </c>
      <c r="AC74" s="147"/>
      <c r="AD74" s="151"/>
      <c r="AE74" s="85"/>
      <c r="AF74" s="8"/>
      <c r="AG74" s="4"/>
      <c r="AH74" s="134" t="s">
        <v>911</v>
      </c>
      <c r="AI74" s="134">
        <v>68</v>
      </c>
      <c r="AJ74" s="139" t="s">
        <v>813</v>
      </c>
      <c r="AK74" s="4"/>
      <c r="AL74" s="4"/>
      <c r="AM74" s="17" t="s">
        <v>1084</v>
      </c>
      <c r="AN74" s="17" t="s">
        <v>635</v>
      </c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9" t="s">
        <v>796</v>
      </c>
      <c r="BB74" s="49"/>
      <c r="BC74" s="4"/>
      <c r="BD74" s="49" t="s">
        <v>975</v>
      </c>
      <c r="BE74" s="4"/>
      <c r="BF74" s="4"/>
      <c r="BG74" s="4"/>
      <c r="BH74" s="4"/>
      <c r="BI74" s="17" t="s">
        <v>1003</v>
      </c>
      <c r="BJ74" s="4"/>
      <c r="BK74" s="4"/>
      <c r="BL74" s="4"/>
      <c r="BM74" s="4"/>
      <c r="BN74" s="4"/>
      <c r="BO74" s="4"/>
    </row>
    <row r="75" spans="1:67" ht="14" thickBot="1">
      <c r="A75" s="88">
        <v>6</v>
      </c>
      <c r="B75" s="34" t="s">
        <v>1422</v>
      </c>
      <c r="C75" s="325"/>
      <c r="D75" s="318"/>
      <c r="E75" s="317"/>
      <c r="F75" s="318"/>
      <c r="G75" s="235"/>
      <c r="H75" s="235"/>
      <c r="I75" s="323"/>
      <c r="J75" s="235"/>
      <c r="K75" s="235"/>
      <c r="L75" s="235"/>
      <c r="M75" s="231" t="s">
        <v>1350</v>
      </c>
      <c r="N75" s="231"/>
      <c r="O75" s="235"/>
      <c r="P75" s="235"/>
      <c r="Q75" s="235"/>
      <c r="R75" s="235"/>
      <c r="S75" s="235"/>
      <c r="T75" s="235"/>
      <c r="U75" s="332"/>
      <c r="V75" s="332"/>
      <c r="W75" s="332"/>
      <c r="X75" s="333"/>
      <c r="Y75" s="112"/>
      <c r="Z75" s="146">
        <f>IF(PlTheirsNumber="6",-1,0)</f>
        <v>0</v>
      </c>
      <c r="AA75" s="147">
        <v>0</v>
      </c>
      <c r="AB75" s="148">
        <f>LEN(C75)*LEN(E75)</f>
        <v>0</v>
      </c>
      <c r="AC75" s="147" t="str">
        <f t="shared" si="0"/>
        <v>None</v>
      </c>
      <c r="AD75" s="151" t="str">
        <f>IF(LEN(C75)&gt;0,"1","0")</f>
        <v>0</v>
      </c>
      <c r="AE75" s="85"/>
      <c r="AF75" s="8"/>
      <c r="AG75" s="4"/>
      <c r="AH75" s="134" t="s">
        <v>912</v>
      </c>
      <c r="AI75" s="134">
        <v>69</v>
      </c>
      <c r="AJ75" s="139" t="s">
        <v>814</v>
      </c>
      <c r="AK75" s="4"/>
      <c r="AL75" s="4"/>
      <c r="AM75" s="17" t="s">
        <v>636</v>
      </c>
      <c r="AN75" s="17" t="s">
        <v>637</v>
      </c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50" t="s">
        <v>1073</v>
      </c>
      <c r="BB75" s="50" t="s">
        <v>804</v>
      </c>
      <c r="BC75" s="4"/>
      <c r="BD75" s="49">
        <v>7</v>
      </c>
      <c r="BE75" s="4"/>
      <c r="BF75" s="4"/>
      <c r="BG75" s="4"/>
      <c r="BH75" s="4"/>
      <c r="BI75" s="17" t="s">
        <v>1008</v>
      </c>
      <c r="BJ75" s="4"/>
      <c r="BK75" s="4"/>
      <c r="BL75" s="4"/>
      <c r="BM75" s="4"/>
      <c r="BN75" s="4"/>
      <c r="BO75" s="4"/>
    </row>
    <row r="76" spans="1:67" ht="15" thickTop="1" thickBot="1">
      <c r="A76" s="88"/>
      <c r="B76" s="34" t="s">
        <v>1302</v>
      </c>
      <c r="C76" s="282"/>
      <c r="D76" s="273"/>
      <c r="E76" s="315"/>
      <c r="F76" s="316"/>
      <c r="G76" s="273"/>
      <c r="H76" s="273"/>
      <c r="I76" s="324"/>
      <c r="J76" s="273"/>
      <c r="K76" s="273"/>
      <c r="L76" s="273"/>
      <c r="M76" s="232"/>
      <c r="N76" s="232"/>
      <c r="O76" s="273"/>
      <c r="P76" s="273"/>
      <c r="Q76" s="273"/>
      <c r="R76" s="273"/>
      <c r="S76" s="327"/>
      <c r="T76" s="327"/>
      <c r="U76" s="337"/>
      <c r="V76" s="337"/>
      <c r="W76" s="337"/>
      <c r="X76" s="338"/>
      <c r="Y76" s="112"/>
      <c r="Z76" s="146"/>
      <c r="AA76" s="147"/>
      <c r="AB76" s="147">
        <f>LEN(AB75) * LEN(C76) * LEN(E76)</f>
        <v>0</v>
      </c>
      <c r="AC76" s="147"/>
      <c r="AD76" s="151">
        <f>AD71+AD73+AD75</f>
        <v>0</v>
      </c>
      <c r="AE76" s="85"/>
      <c r="AF76" s="8"/>
      <c r="AG76" s="4"/>
      <c r="AH76" s="134" t="s">
        <v>1240</v>
      </c>
      <c r="AI76" s="134">
        <v>70</v>
      </c>
      <c r="AJ76" s="139" t="s">
        <v>814</v>
      </c>
      <c r="AK76" s="4"/>
      <c r="AL76" s="4"/>
      <c r="AM76" s="17" t="s">
        <v>1085</v>
      </c>
      <c r="AN76" s="17" t="s">
        <v>638</v>
      </c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9" t="s">
        <v>788</v>
      </c>
      <c r="BE76" s="4"/>
      <c r="BF76" s="4"/>
      <c r="BG76" s="4"/>
      <c r="BH76" s="4"/>
      <c r="BI76" s="17" t="s">
        <v>1009</v>
      </c>
      <c r="BJ76" s="4"/>
      <c r="BK76" s="4"/>
      <c r="BL76" s="4"/>
      <c r="BM76" s="4"/>
      <c r="BN76" s="4"/>
      <c r="BO76" s="4"/>
    </row>
    <row r="77" spans="1:67">
      <c r="A77" s="88">
        <v>7</v>
      </c>
      <c r="B77" s="34" t="s">
        <v>1421</v>
      </c>
      <c r="C77" s="325"/>
      <c r="D77" s="318"/>
      <c r="E77" s="317"/>
      <c r="F77" s="318"/>
      <c r="G77" s="235"/>
      <c r="H77" s="235"/>
      <c r="I77" s="323"/>
      <c r="J77" s="235"/>
      <c r="K77" s="235"/>
      <c r="L77" s="235"/>
      <c r="M77" s="231" t="s">
        <v>1350</v>
      </c>
      <c r="N77" s="231"/>
      <c r="O77" s="235"/>
      <c r="P77" s="235"/>
      <c r="Q77" s="235"/>
      <c r="R77" s="235"/>
      <c r="S77" s="235"/>
      <c r="T77" s="235"/>
      <c r="U77" s="327"/>
      <c r="V77" s="327"/>
      <c r="W77" s="327"/>
      <c r="X77" s="339"/>
      <c r="Y77" s="112"/>
      <c r="Z77" s="146">
        <f>IF(PlTheirsNumber="7",-1,0)</f>
        <v>0</v>
      </c>
      <c r="AA77" s="147">
        <v>5</v>
      </c>
      <c r="AB77" s="152">
        <f>LEN(C77)*LEN(E77)</f>
        <v>0</v>
      </c>
      <c r="AC77" s="147" t="str">
        <f t="shared" si="0"/>
        <v>None</v>
      </c>
      <c r="AD77" s="149"/>
      <c r="AE77" s="85"/>
      <c r="AF77" s="8"/>
      <c r="AG77" s="4"/>
      <c r="AH77" s="134" t="s">
        <v>489</v>
      </c>
      <c r="AI77" s="134">
        <v>71</v>
      </c>
      <c r="AJ77" s="139" t="s">
        <v>813</v>
      </c>
      <c r="AK77" s="4"/>
      <c r="AL77" s="4"/>
      <c r="AM77" s="17" t="s">
        <v>1086</v>
      </c>
      <c r="AN77" s="17" t="s">
        <v>639</v>
      </c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9">
        <v>8</v>
      </c>
      <c r="BE77" s="4"/>
      <c r="BF77" s="4"/>
      <c r="BG77" s="4"/>
      <c r="BH77" s="4"/>
      <c r="BI77" s="17" t="s">
        <v>1010</v>
      </c>
      <c r="BJ77" s="4"/>
      <c r="BK77" s="4"/>
      <c r="BL77" s="4"/>
      <c r="BM77" s="4"/>
      <c r="BN77" s="4"/>
      <c r="BO77" s="4"/>
    </row>
    <row r="78" spans="1:67" ht="14" thickBot="1">
      <c r="A78" s="88"/>
      <c r="B78" s="34" t="s">
        <v>1303</v>
      </c>
      <c r="C78" s="282"/>
      <c r="D78" s="273"/>
      <c r="E78" s="315"/>
      <c r="F78" s="316"/>
      <c r="G78" s="273"/>
      <c r="H78" s="273"/>
      <c r="I78" s="324"/>
      <c r="J78" s="273"/>
      <c r="K78" s="273"/>
      <c r="L78" s="273"/>
      <c r="M78" s="232"/>
      <c r="N78" s="232"/>
      <c r="O78" s="273"/>
      <c r="P78" s="273"/>
      <c r="Q78" s="273"/>
      <c r="R78" s="273"/>
      <c r="S78" s="327"/>
      <c r="T78" s="327"/>
      <c r="U78" s="273"/>
      <c r="V78" s="273"/>
      <c r="W78" s="273"/>
      <c r="X78" s="336"/>
      <c r="Y78" s="112"/>
      <c r="Z78" s="146"/>
      <c r="AA78" s="147"/>
      <c r="AB78" s="147">
        <f>LEN(AB77) * LEN(C78) * LEN(E78)</f>
        <v>0</v>
      </c>
      <c r="AC78" s="147"/>
      <c r="AD78" s="149"/>
      <c r="AE78" s="85"/>
      <c r="AF78" s="8"/>
      <c r="AG78" s="4"/>
      <c r="AH78" s="134" t="s">
        <v>1241</v>
      </c>
      <c r="AI78" s="134">
        <v>72</v>
      </c>
      <c r="AJ78" s="139" t="s">
        <v>813</v>
      </c>
      <c r="AK78" s="4"/>
      <c r="AL78" s="4"/>
      <c r="AM78" s="17" t="s">
        <v>1087</v>
      </c>
      <c r="AN78" s="17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9" t="s">
        <v>829</v>
      </c>
      <c r="BE78" s="4"/>
      <c r="BF78" s="4"/>
      <c r="BG78" s="4"/>
      <c r="BH78" s="4"/>
      <c r="BI78" s="17"/>
      <c r="BJ78" s="4"/>
      <c r="BK78" s="4"/>
      <c r="BL78" s="4"/>
      <c r="BM78" s="4"/>
      <c r="BN78" s="4"/>
      <c r="BO78" s="4"/>
    </row>
    <row r="79" spans="1:67">
      <c r="A79" s="88">
        <v>8</v>
      </c>
      <c r="B79" s="34" t="s">
        <v>1421</v>
      </c>
      <c r="C79" s="325"/>
      <c r="D79" s="318"/>
      <c r="E79" s="317"/>
      <c r="F79" s="318"/>
      <c r="G79" s="235"/>
      <c r="H79" s="235"/>
      <c r="I79" s="323"/>
      <c r="J79" s="235"/>
      <c r="K79" s="235"/>
      <c r="L79" s="235"/>
      <c r="M79" s="231" t="s">
        <v>1350</v>
      </c>
      <c r="N79" s="231"/>
      <c r="O79" s="235"/>
      <c r="P79" s="235"/>
      <c r="Q79" s="235"/>
      <c r="R79" s="235"/>
      <c r="S79" s="235"/>
      <c r="T79" s="235"/>
      <c r="U79" s="332"/>
      <c r="V79" s="332"/>
      <c r="W79" s="332"/>
      <c r="X79" s="333"/>
      <c r="Y79" s="112"/>
      <c r="Z79" s="146">
        <f>IF(PlTheirsNumber="8",-1,0)</f>
        <v>0</v>
      </c>
      <c r="AA79" s="147">
        <v>5</v>
      </c>
      <c r="AB79" s="152">
        <f>LEN(C79)*LEN(E79)</f>
        <v>0</v>
      </c>
      <c r="AC79" s="147" t="str">
        <f t="shared" si="0"/>
        <v>None</v>
      </c>
      <c r="AD79" s="149"/>
      <c r="AE79" s="85"/>
      <c r="AF79" s="8"/>
      <c r="AG79" s="4"/>
      <c r="AH79" s="134" t="s">
        <v>490</v>
      </c>
      <c r="AI79" s="134">
        <v>73</v>
      </c>
      <c r="AJ79" s="139" t="s">
        <v>813</v>
      </c>
      <c r="AK79" s="4"/>
      <c r="AL79" s="4"/>
      <c r="AM79" s="17" t="s">
        <v>1088</v>
      </c>
      <c r="AN79" s="17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9">
        <v>9</v>
      </c>
      <c r="BE79" s="4"/>
      <c r="BF79" s="4"/>
      <c r="BG79" s="4"/>
      <c r="BH79" s="4"/>
      <c r="BI79" s="17" t="s">
        <v>129</v>
      </c>
      <c r="BJ79" s="4"/>
      <c r="BK79" s="4"/>
      <c r="BL79" s="4"/>
      <c r="BM79" s="4"/>
      <c r="BN79" s="4"/>
      <c r="BO79" s="4"/>
    </row>
    <row r="80" spans="1:67" ht="14" thickBot="1">
      <c r="A80" s="88"/>
      <c r="B80" s="34" t="s">
        <v>1303</v>
      </c>
      <c r="C80" s="282"/>
      <c r="D80" s="273"/>
      <c r="E80" s="315"/>
      <c r="F80" s="316"/>
      <c r="G80" s="273"/>
      <c r="H80" s="273"/>
      <c r="I80" s="324"/>
      <c r="J80" s="273"/>
      <c r="K80" s="273"/>
      <c r="L80" s="273"/>
      <c r="M80" s="232"/>
      <c r="N80" s="232"/>
      <c r="O80" s="273"/>
      <c r="P80" s="273"/>
      <c r="Q80" s="273"/>
      <c r="R80" s="273"/>
      <c r="S80" s="327"/>
      <c r="T80" s="327"/>
      <c r="U80" s="337"/>
      <c r="V80" s="337"/>
      <c r="W80" s="337"/>
      <c r="X80" s="338"/>
      <c r="Y80" s="112"/>
      <c r="Z80" s="146"/>
      <c r="AA80" s="147"/>
      <c r="AB80" s="147">
        <f>LEN(AB79) * LEN(C80) * LEN(E80)</f>
        <v>0</v>
      </c>
      <c r="AC80" s="147"/>
      <c r="AD80" s="149"/>
      <c r="AE80" s="85"/>
      <c r="AF80" s="8"/>
      <c r="AG80" s="4"/>
      <c r="AH80" s="134" t="s">
        <v>491</v>
      </c>
      <c r="AI80" s="134">
        <v>74</v>
      </c>
      <c r="AJ80" s="139" t="s">
        <v>815</v>
      </c>
      <c r="AK80" s="4"/>
      <c r="AL80" s="4"/>
      <c r="AM80" s="17" t="s">
        <v>1089</v>
      </c>
      <c r="AN80" s="17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9" t="s">
        <v>589</v>
      </c>
      <c r="BE80" s="4"/>
      <c r="BF80" s="4"/>
      <c r="BG80" s="4"/>
      <c r="BH80" s="4"/>
      <c r="BI80" s="17" t="s">
        <v>130</v>
      </c>
      <c r="BJ80" s="4"/>
      <c r="BK80" s="4"/>
      <c r="BL80" s="4"/>
      <c r="BM80" s="4"/>
      <c r="BN80" s="4"/>
      <c r="BO80" s="4"/>
    </row>
    <row r="81" spans="1:67">
      <c r="A81" s="88">
        <v>9</v>
      </c>
      <c r="B81" s="34" t="s">
        <v>1420</v>
      </c>
      <c r="C81" s="325"/>
      <c r="D81" s="318"/>
      <c r="E81" s="317"/>
      <c r="F81" s="318"/>
      <c r="G81" s="235"/>
      <c r="H81" s="235"/>
      <c r="I81" s="323"/>
      <c r="J81" s="235"/>
      <c r="K81" s="235"/>
      <c r="L81" s="235"/>
      <c r="M81" s="231" t="s">
        <v>1350</v>
      </c>
      <c r="N81" s="231"/>
      <c r="O81" s="235"/>
      <c r="P81" s="235"/>
      <c r="Q81" s="235"/>
      <c r="R81" s="235"/>
      <c r="S81" s="235"/>
      <c r="T81" s="235"/>
      <c r="U81" s="327"/>
      <c r="V81" s="327"/>
      <c r="W81" s="327"/>
      <c r="X81" s="339"/>
      <c r="Y81" s="112"/>
      <c r="Z81" s="146">
        <f>IF(PlTheirsNumber="9",-1,0)</f>
        <v>0</v>
      </c>
      <c r="AA81" s="147">
        <v>6</v>
      </c>
      <c r="AB81" s="152">
        <f>LEN(C81)*LEN(E81)</f>
        <v>0</v>
      </c>
      <c r="AC81" s="147" t="str">
        <f t="shared" si="0"/>
        <v>None</v>
      </c>
      <c r="AD81" s="149"/>
      <c r="AE81" s="85"/>
      <c r="AF81" s="8"/>
      <c r="AG81" s="4"/>
      <c r="AH81" s="134" t="s">
        <v>492</v>
      </c>
      <c r="AI81" s="134">
        <v>75</v>
      </c>
      <c r="AJ81" s="139" t="s">
        <v>815</v>
      </c>
      <c r="AK81" s="4"/>
      <c r="AL81" s="4"/>
      <c r="AM81" s="17" t="s">
        <v>1090</v>
      </c>
      <c r="AN81" s="17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9" t="s">
        <v>575</v>
      </c>
      <c r="BE81" s="4"/>
      <c r="BF81" s="4"/>
      <c r="BG81" s="4"/>
      <c r="BH81" s="4"/>
      <c r="BI81" s="17" t="s">
        <v>131</v>
      </c>
      <c r="BJ81" s="4"/>
      <c r="BK81" s="4"/>
      <c r="BL81" s="4"/>
      <c r="BM81" s="4"/>
      <c r="BN81" s="4"/>
      <c r="BO81" s="4"/>
    </row>
    <row r="82" spans="1:67" ht="14" thickBot="1">
      <c r="A82" s="88"/>
      <c r="B82" s="34" t="s">
        <v>1304</v>
      </c>
      <c r="C82" s="282"/>
      <c r="D82" s="273"/>
      <c r="E82" s="315"/>
      <c r="F82" s="316"/>
      <c r="G82" s="273"/>
      <c r="H82" s="273"/>
      <c r="I82" s="324"/>
      <c r="J82" s="273"/>
      <c r="K82" s="273"/>
      <c r="L82" s="273"/>
      <c r="M82" s="232"/>
      <c r="N82" s="232"/>
      <c r="O82" s="273"/>
      <c r="P82" s="273"/>
      <c r="Q82" s="273"/>
      <c r="R82" s="273"/>
      <c r="S82" s="327"/>
      <c r="T82" s="327"/>
      <c r="U82" s="273"/>
      <c r="V82" s="273"/>
      <c r="W82" s="273"/>
      <c r="X82" s="336"/>
      <c r="Y82" s="112"/>
      <c r="Z82" s="146"/>
      <c r="AA82" s="147"/>
      <c r="AB82" s="147">
        <f>LEN(AB81) * LEN(C82) * LEN(E82)</f>
        <v>0</v>
      </c>
      <c r="AC82" s="147"/>
      <c r="AD82" s="149"/>
      <c r="AE82" s="85"/>
      <c r="AF82" s="8"/>
      <c r="AG82" s="4"/>
      <c r="AH82" s="134" t="s">
        <v>493</v>
      </c>
      <c r="AI82" s="134">
        <v>76</v>
      </c>
      <c r="AJ82" s="139" t="s">
        <v>813</v>
      </c>
      <c r="AK82" s="4"/>
      <c r="AL82" s="4"/>
      <c r="AM82" s="17" t="s">
        <v>1091</v>
      </c>
      <c r="AN82" s="17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9" t="s">
        <v>574</v>
      </c>
      <c r="BE82" s="4"/>
      <c r="BF82" s="4"/>
      <c r="BG82" s="4"/>
      <c r="BH82" s="4"/>
      <c r="BI82" s="17"/>
      <c r="BJ82" s="4"/>
      <c r="BK82" s="4"/>
      <c r="BL82" s="4"/>
      <c r="BM82" s="4"/>
      <c r="BN82" s="4"/>
      <c r="BO82" s="4"/>
    </row>
    <row r="83" spans="1:67">
      <c r="A83" s="88">
        <v>10</v>
      </c>
      <c r="B83" s="34" t="s">
        <v>1420</v>
      </c>
      <c r="C83" s="325"/>
      <c r="D83" s="318"/>
      <c r="E83" s="317"/>
      <c r="F83" s="318"/>
      <c r="G83" s="235"/>
      <c r="H83" s="235"/>
      <c r="I83" s="323"/>
      <c r="J83" s="235"/>
      <c r="K83" s="235"/>
      <c r="L83" s="235"/>
      <c r="M83" s="231" t="s">
        <v>1350</v>
      </c>
      <c r="N83" s="231"/>
      <c r="O83" s="235"/>
      <c r="P83" s="235"/>
      <c r="Q83" s="235"/>
      <c r="R83" s="235"/>
      <c r="S83" s="235"/>
      <c r="T83" s="235"/>
      <c r="U83" s="332"/>
      <c r="V83" s="332"/>
      <c r="W83" s="332"/>
      <c r="X83" s="333"/>
      <c r="Y83" s="112"/>
      <c r="Z83" s="146">
        <f>IF(PlTheirsNumber="10",-1,0)</f>
        <v>0</v>
      </c>
      <c r="AA83" s="147">
        <v>6</v>
      </c>
      <c r="AB83" s="152">
        <f>LEN(C83)*LEN(E83)</f>
        <v>0</v>
      </c>
      <c r="AC83" s="147" t="str">
        <f t="shared" si="0"/>
        <v>None</v>
      </c>
      <c r="AD83" s="149"/>
      <c r="AE83" s="85"/>
      <c r="AF83" s="8"/>
      <c r="AG83" s="4"/>
      <c r="AH83" s="134" t="s">
        <v>494</v>
      </c>
      <c r="AI83" s="134">
        <v>77</v>
      </c>
      <c r="AJ83" s="139" t="s">
        <v>815</v>
      </c>
      <c r="AK83" s="4"/>
      <c r="AL83" s="4"/>
      <c r="AM83" s="17" t="s">
        <v>1092</v>
      </c>
      <c r="AN83" s="17" t="s">
        <v>640</v>
      </c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9" t="s">
        <v>573</v>
      </c>
      <c r="BE83" s="4"/>
      <c r="BF83" s="4"/>
      <c r="BG83" s="4"/>
      <c r="BH83" s="4"/>
      <c r="BI83" s="17" t="s">
        <v>132</v>
      </c>
      <c r="BJ83" s="4"/>
      <c r="BK83" s="4"/>
      <c r="BL83" s="4"/>
      <c r="BM83" s="4"/>
      <c r="BN83" s="4"/>
      <c r="BO83" s="4"/>
    </row>
    <row r="84" spans="1:67" ht="14" thickBot="1">
      <c r="A84" s="35"/>
      <c r="B84" s="34" t="s">
        <v>1304</v>
      </c>
      <c r="C84" s="282"/>
      <c r="D84" s="273"/>
      <c r="E84" s="315"/>
      <c r="F84" s="316"/>
      <c r="G84" s="273"/>
      <c r="H84" s="273"/>
      <c r="I84" s="324"/>
      <c r="J84" s="273"/>
      <c r="K84" s="273"/>
      <c r="L84" s="273"/>
      <c r="M84" s="232"/>
      <c r="N84" s="232"/>
      <c r="O84" s="273"/>
      <c r="P84" s="273"/>
      <c r="Q84" s="273"/>
      <c r="R84" s="273"/>
      <c r="S84" s="327"/>
      <c r="T84" s="327"/>
      <c r="U84" s="334"/>
      <c r="V84" s="334"/>
      <c r="W84" s="334"/>
      <c r="X84" s="335"/>
      <c r="Y84" s="112"/>
      <c r="Z84" s="146"/>
      <c r="AA84" s="153"/>
      <c r="AB84" s="147">
        <f>LEN(AB83) * LEN(C84) * LEN(E84)</f>
        <v>0</v>
      </c>
      <c r="AC84" s="147"/>
      <c r="AD84" s="149"/>
      <c r="AE84" s="85"/>
      <c r="AF84" s="8"/>
      <c r="AG84" s="4"/>
      <c r="AH84" s="134" t="s">
        <v>495</v>
      </c>
      <c r="AI84" s="134">
        <v>78</v>
      </c>
      <c r="AJ84" s="139" t="s">
        <v>815</v>
      </c>
      <c r="AK84" s="4"/>
      <c r="AL84" s="4"/>
      <c r="AM84" s="17" t="s">
        <v>1093</v>
      </c>
      <c r="AN84" s="17" t="s">
        <v>641</v>
      </c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9" t="s">
        <v>572</v>
      </c>
      <c r="BE84" s="4"/>
      <c r="BF84" s="4"/>
      <c r="BG84" s="4"/>
      <c r="BH84" s="4"/>
      <c r="BI84" s="17" t="s">
        <v>141</v>
      </c>
      <c r="BJ84" s="4"/>
      <c r="BK84" s="4"/>
      <c r="BL84" s="4"/>
      <c r="BM84" s="4"/>
      <c r="BN84" s="4"/>
      <c r="BO84" s="4"/>
    </row>
    <row r="85" spans="1:67" ht="14" thickBot="1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13"/>
      <c r="Z85" s="87"/>
      <c r="AA85" s="154"/>
      <c r="AB85" s="154"/>
      <c r="AC85" s="154"/>
      <c r="AD85" s="87"/>
      <c r="AE85" s="8"/>
      <c r="AF85" s="8"/>
      <c r="AG85" s="4"/>
      <c r="AH85" s="134" t="s">
        <v>496</v>
      </c>
      <c r="AI85" s="134">
        <v>79</v>
      </c>
      <c r="AJ85" s="139" t="s">
        <v>815</v>
      </c>
      <c r="AK85" s="4"/>
      <c r="AL85" s="4"/>
      <c r="AM85" s="17" t="s">
        <v>1094</v>
      </c>
      <c r="AN85" s="17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9">
        <v>10</v>
      </c>
      <c r="BE85" s="4"/>
      <c r="BF85" s="4"/>
      <c r="BG85" s="4"/>
      <c r="BH85" s="4"/>
      <c r="BI85" s="17" t="s">
        <v>142</v>
      </c>
      <c r="BJ85" s="4"/>
      <c r="BK85" s="4"/>
      <c r="BL85" s="4"/>
      <c r="BM85" s="4"/>
      <c r="BN85" s="4"/>
      <c r="BO85" s="4"/>
    </row>
    <row r="86" spans="1:67" ht="15" customHeight="1" thickBot="1">
      <c r="A86" s="6"/>
      <c r="B86" s="8"/>
      <c r="C86" s="8"/>
      <c r="D86" s="16" t="s">
        <v>1305</v>
      </c>
      <c r="E86" s="352" t="s">
        <v>532</v>
      </c>
      <c r="F86" s="353"/>
      <c r="G86" s="353"/>
      <c r="H86" s="354"/>
      <c r="I86" s="165" t="str">
        <f>IF(OR(LEN(Plthers)=0,Plthers="None"),"*","")</f>
        <v>*</v>
      </c>
      <c r="J86" s="86" t="str">
        <f>IF(LEN(Plthers)&gt;0,LEFT(Plthers,1),"N")</f>
        <v>N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113"/>
      <c r="Z86" s="87"/>
      <c r="AA86" s="154"/>
      <c r="AB86" s="154"/>
      <c r="AC86" s="154"/>
      <c r="AD86" s="87"/>
      <c r="AE86" s="8"/>
      <c r="AF86" s="8"/>
      <c r="AG86" s="4"/>
      <c r="AH86" s="134" t="s">
        <v>497</v>
      </c>
      <c r="AI86" s="134">
        <v>80</v>
      </c>
      <c r="AJ86" s="139" t="s">
        <v>815</v>
      </c>
      <c r="AK86" s="4"/>
      <c r="AL86" s="4"/>
      <c r="AM86" s="17" t="s">
        <v>1095</v>
      </c>
      <c r="AN86" s="17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9" t="s">
        <v>590</v>
      </c>
      <c r="BE86" s="4"/>
      <c r="BF86" s="4"/>
      <c r="BG86" s="4"/>
      <c r="BH86" s="4"/>
      <c r="BI86" s="17"/>
      <c r="BJ86" s="4"/>
      <c r="BK86" s="4"/>
      <c r="BL86" s="4"/>
      <c r="BM86" s="4"/>
      <c r="BN86" s="4"/>
      <c r="BO86" s="4"/>
    </row>
    <row r="87" spans="1:67" ht="14" thickBot="1">
      <c r="A87" s="6"/>
      <c r="B87" s="8"/>
      <c r="C87" s="8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113"/>
      <c r="Z87" s="87"/>
      <c r="AA87" s="154"/>
      <c r="AB87" s="154"/>
      <c r="AC87" s="154"/>
      <c r="AD87" s="87"/>
      <c r="AE87" s="8"/>
      <c r="AF87" s="8"/>
      <c r="AG87" s="4"/>
      <c r="AH87" s="134" t="s">
        <v>498</v>
      </c>
      <c r="AI87" s="134">
        <v>81</v>
      </c>
      <c r="AJ87" s="139" t="s">
        <v>815</v>
      </c>
      <c r="AK87" s="4"/>
      <c r="AL87" s="4"/>
      <c r="AM87" s="17" t="s">
        <v>1096</v>
      </c>
      <c r="AN87" s="17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9" t="s">
        <v>571</v>
      </c>
      <c r="BE87" s="4"/>
      <c r="BF87" s="4"/>
      <c r="BG87" s="4"/>
      <c r="BH87" s="4"/>
      <c r="BI87" s="17" t="s">
        <v>133</v>
      </c>
      <c r="BJ87" s="4"/>
      <c r="BK87" s="4"/>
      <c r="BL87" s="4"/>
      <c r="BM87" s="4"/>
      <c r="BN87" s="4"/>
      <c r="BO87" s="4"/>
    </row>
    <row r="88" spans="1:67">
      <c r="A88" s="6"/>
      <c r="B88" s="8"/>
      <c r="C88" s="8"/>
      <c r="D88" s="16" t="s">
        <v>1306</v>
      </c>
      <c r="E88" s="325"/>
      <c r="F88" s="326"/>
      <c r="G88" s="8"/>
      <c r="H88" s="16" t="s">
        <v>866</v>
      </c>
      <c r="I88" s="325"/>
      <c r="J88" s="326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113"/>
      <c r="Z88" s="94"/>
      <c r="AA88" s="94"/>
      <c r="AB88" s="94"/>
      <c r="AC88" s="94"/>
      <c r="AD88" s="94"/>
      <c r="AE88" s="8"/>
      <c r="AF88" s="8"/>
      <c r="AG88" s="4"/>
      <c r="AH88" s="134" t="s">
        <v>1242</v>
      </c>
      <c r="AI88" s="134">
        <v>82</v>
      </c>
      <c r="AJ88" s="139" t="s">
        <v>808</v>
      </c>
      <c r="AK88" s="4"/>
      <c r="AL88" s="4"/>
      <c r="AM88" s="17" t="s">
        <v>1097</v>
      </c>
      <c r="AN88" s="17" t="s">
        <v>642</v>
      </c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9" t="s">
        <v>570</v>
      </c>
      <c r="BE88" s="4"/>
      <c r="BF88" s="4"/>
      <c r="BG88" s="4"/>
      <c r="BH88" s="4"/>
      <c r="BI88" s="17" t="s">
        <v>134</v>
      </c>
      <c r="BJ88" s="4"/>
      <c r="BK88" s="4"/>
      <c r="BL88" s="4"/>
      <c r="BM88" s="4"/>
      <c r="BN88" s="4"/>
      <c r="BO88" s="4"/>
    </row>
    <row r="89" spans="1:67" ht="14" thickBot="1">
      <c r="A89" s="6"/>
      <c r="B89" s="8"/>
      <c r="C89" s="8"/>
      <c r="D89" s="16" t="s">
        <v>1307</v>
      </c>
      <c r="E89" s="359"/>
      <c r="F89" s="360"/>
      <c r="G89" s="8"/>
      <c r="H89" s="16" t="s">
        <v>867</v>
      </c>
      <c r="I89" s="359"/>
      <c r="J89" s="36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13"/>
      <c r="Z89" s="94"/>
      <c r="AA89" s="94"/>
      <c r="AB89" s="94"/>
      <c r="AC89" s="94"/>
      <c r="AD89" s="94"/>
      <c r="AE89" s="8"/>
      <c r="AF89" s="8"/>
      <c r="AG89" s="4"/>
      <c r="AH89" s="134" t="s">
        <v>464</v>
      </c>
      <c r="AI89" s="134">
        <v>83</v>
      </c>
      <c r="AJ89" s="139" t="s">
        <v>808</v>
      </c>
      <c r="AK89" s="4"/>
      <c r="AL89" s="4"/>
      <c r="AM89" s="17" t="s">
        <v>1098</v>
      </c>
      <c r="AN89" s="17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9">
        <v>11</v>
      </c>
      <c r="BE89" s="4"/>
      <c r="BF89" s="4"/>
      <c r="BG89" s="4"/>
      <c r="BH89" s="4"/>
      <c r="BI89" s="17" t="s">
        <v>135</v>
      </c>
      <c r="BJ89" s="4"/>
      <c r="BK89" s="4"/>
      <c r="BL89" s="4"/>
      <c r="BM89" s="4"/>
      <c r="BN89" s="4"/>
      <c r="BO89" s="4"/>
    </row>
    <row r="90" spans="1:67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13"/>
      <c r="Z90" s="94"/>
      <c r="AA90" s="94"/>
      <c r="AB90" s="94"/>
      <c r="AC90" s="94"/>
      <c r="AD90" s="94"/>
      <c r="AE90" s="8"/>
      <c r="AF90" s="8"/>
      <c r="AG90" s="4"/>
      <c r="AH90" s="134" t="s">
        <v>468</v>
      </c>
      <c r="AI90" s="134">
        <v>84</v>
      </c>
      <c r="AJ90" s="139" t="s">
        <v>808</v>
      </c>
      <c r="AK90" s="4"/>
      <c r="AL90" s="4"/>
      <c r="AM90" s="17" t="s">
        <v>1099</v>
      </c>
      <c r="AN90" s="17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9" t="s">
        <v>592</v>
      </c>
      <c r="BE90" s="4"/>
      <c r="BF90" s="4"/>
      <c r="BG90" s="4"/>
      <c r="BH90" s="4"/>
      <c r="BI90" s="17" t="s">
        <v>136</v>
      </c>
      <c r="BJ90" s="4"/>
      <c r="BK90" s="4"/>
      <c r="BL90" s="4"/>
      <c r="BM90" s="4"/>
      <c r="BN90" s="4"/>
      <c r="BO90" s="4"/>
    </row>
    <row r="91" spans="1:67" ht="18">
      <c r="A91" s="6"/>
      <c r="B91" s="10" t="s">
        <v>1308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36" t="s">
        <v>1309</v>
      </c>
      <c r="N91" s="8"/>
      <c r="O91" s="87"/>
      <c r="P91" s="87"/>
      <c r="Q91" s="87"/>
      <c r="R91" s="87"/>
      <c r="S91" s="8"/>
      <c r="T91" s="8"/>
      <c r="U91" s="8"/>
      <c r="V91" s="8"/>
      <c r="W91" s="8"/>
      <c r="X91" s="8"/>
      <c r="Y91" s="113"/>
      <c r="Z91" s="94"/>
      <c r="AA91" s="94"/>
      <c r="AB91" s="94"/>
      <c r="AC91" s="94"/>
      <c r="AD91" s="94"/>
      <c r="AE91" s="8"/>
      <c r="AF91" s="8"/>
      <c r="AG91" s="4"/>
      <c r="AH91" s="134" t="s">
        <v>508</v>
      </c>
      <c r="AI91" s="134">
        <v>85</v>
      </c>
      <c r="AJ91" s="139" t="s">
        <v>809</v>
      </c>
      <c r="AK91" s="4"/>
      <c r="AL91" s="4"/>
      <c r="AM91" s="17" t="s">
        <v>1100</v>
      </c>
      <c r="AN91" s="17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9">
        <v>12</v>
      </c>
      <c r="BE91" s="4"/>
      <c r="BF91" s="4"/>
      <c r="BG91" s="4"/>
      <c r="BH91" s="4"/>
      <c r="BI91" s="17" t="s">
        <v>144</v>
      </c>
      <c r="BJ91" s="4"/>
      <c r="BK91" s="4"/>
      <c r="BL91" s="4"/>
      <c r="BM91" s="4"/>
      <c r="BN91" s="4"/>
      <c r="BO91" s="4"/>
    </row>
    <row r="92" spans="1:67" ht="27.75" customHeight="1" thickBot="1">
      <c r="A92" s="6"/>
      <c r="B92" s="8"/>
      <c r="C92" s="8"/>
      <c r="D92" s="8"/>
      <c r="E92" s="37" t="s">
        <v>1371</v>
      </c>
      <c r="F92" s="37" t="s">
        <v>1317</v>
      </c>
      <c r="G92" s="37" t="s">
        <v>1318</v>
      </c>
      <c r="H92" s="321" t="s">
        <v>1319</v>
      </c>
      <c r="I92" s="322"/>
      <c r="J92" s="37" t="s">
        <v>1320</v>
      </c>
      <c r="K92" s="319" t="s">
        <v>1372</v>
      </c>
      <c r="L92" s="320"/>
      <c r="M92" s="321" t="s">
        <v>1373</v>
      </c>
      <c r="N92" s="322"/>
      <c r="O92" s="87"/>
      <c r="P92" s="87"/>
      <c r="Q92" s="87"/>
      <c r="R92" s="87"/>
      <c r="S92" s="92"/>
      <c r="T92" s="8"/>
      <c r="U92" s="8"/>
      <c r="V92" s="8"/>
      <c r="W92" s="8"/>
      <c r="X92" s="8"/>
      <c r="Y92" s="113"/>
      <c r="Z92" s="94"/>
      <c r="AA92" s="94"/>
      <c r="AB92" s="94"/>
      <c r="AC92" s="94"/>
      <c r="AD92" s="94"/>
      <c r="AE92" s="8"/>
      <c r="AF92" s="8"/>
      <c r="AG92" s="4"/>
      <c r="AH92" s="134" t="s">
        <v>509</v>
      </c>
      <c r="AI92" s="134">
        <v>86</v>
      </c>
      <c r="AJ92" s="139" t="s">
        <v>809</v>
      </c>
      <c r="AK92" s="4"/>
      <c r="AL92" s="4"/>
      <c r="AM92" s="17" t="s">
        <v>1101</v>
      </c>
      <c r="AN92" s="17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9" t="s">
        <v>830</v>
      </c>
      <c r="BE92" s="4"/>
      <c r="BF92" s="4"/>
      <c r="BG92" s="4"/>
      <c r="BH92" s="4"/>
      <c r="BI92" s="17" t="s">
        <v>145</v>
      </c>
      <c r="BJ92" s="4"/>
      <c r="BK92" s="4"/>
      <c r="BL92" s="4"/>
      <c r="BM92" s="4"/>
      <c r="BN92" s="4"/>
      <c r="BO92" s="4"/>
    </row>
    <row r="93" spans="1:67" ht="14" thickBot="1">
      <c r="A93" s="6"/>
      <c r="B93" s="8"/>
      <c r="C93" s="8" t="s">
        <v>1311</v>
      </c>
      <c r="D93" s="8"/>
      <c r="E93" s="69"/>
      <c r="F93" s="70"/>
      <c r="G93" s="71"/>
      <c r="H93" s="277"/>
      <c r="I93" s="278"/>
      <c r="J93" s="72"/>
      <c r="K93" s="8"/>
      <c r="L93" s="8"/>
      <c r="M93" s="233"/>
      <c r="N93" s="234"/>
      <c r="O93" s="87" t="s">
        <v>604</v>
      </c>
      <c r="P93" s="159">
        <f>LEN(E93 &amp; F93 &amp; G93 &amp; H93) * LEN(J93)</f>
        <v>0</v>
      </c>
      <c r="Q93" s="160">
        <f>P93+P94+P95+P96</f>
        <v>0</v>
      </c>
      <c r="R93" s="87" t="str">
        <f>IF((P93)&gt;0,"","*")</f>
        <v>*</v>
      </c>
      <c r="S93" s="122"/>
      <c r="T93" s="8"/>
      <c r="U93" s="8"/>
      <c r="V93" s="8"/>
      <c r="W93" s="8"/>
      <c r="X93" s="8"/>
      <c r="Y93" s="113"/>
      <c r="Z93" s="94"/>
      <c r="AA93" s="94"/>
      <c r="AB93" s="94"/>
      <c r="AC93" s="94"/>
      <c r="AD93" s="94"/>
      <c r="AE93" s="8"/>
      <c r="AF93" s="4"/>
      <c r="AG93" s="4"/>
      <c r="AH93" s="134" t="s">
        <v>510</v>
      </c>
      <c r="AI93" s="134">
        <v>87</v>
      </c>
      <c r="AJ93" s="139" t="s">
        <v>809</v>
      </c>
      <c r="AK93" s="4"/>
      <c r="AL93" s="4"/>
      <c r="AM93" s="17" t="s">
        <v>1102</v>
      </c>
      <c r="AN93" s="17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9">
        <v>13</v>
      </c>
      <c r="BE93" s="4"/>
      <c r="BF93" s="4"/>
      <c r="BG93" s="4"/>
      <c r="BH93" s="4"/>
      <c r="BI93" s="17" t="s">
        <v>137</v>
      </c>
      <c r="BJ93" s="4"/>
      <c r="BK93" s="4"/>
      <c r="BL93" s="4"/>
      <c r="BM93" s="4"/>
      <c r="BN93" s="4"/>
      <c r="BO93" s="4"/>
    </row>
    <row r="94" spans="1:67" ht="14" thickBot="1">
      <c r="A94" s="6"/>
      <c r="B94" s="8"/>
      <c r="C94" s="8" t="s">
        <v>1313</v>
      </c>
      <c r="D94" s="8"/>
      <c r="E94" s="69"/>
      <c r="F94" s="70"/>
      <c r="G94" s="71"/>
      <c r="H94" s="277"/>
      <c r="I94" s="278"/>
      <c r="J94" s="72"/>
      <c r="K94" s="305"/>
      <c r="L94" s="306"/>
      <c r="M94" s="233"/>
      <c r="N94" s="234"/>
      <c r="O94" s="87" t="str">
        <f>IF(ISBLANK(K94),"RU",LOOKUP(K94,PlContries,PlContriesID))</f>
        <v>RU</v>
      </c>
      <c r="P94" s="159">
        <f>LEN(E94 &amp; F94 &amp; G94 &amp; H94) * LEN(J94)</f>
        <v>0</v>
      </c>
      <c r="Q94" s="161"/>
      <c r="R94" s="87" t="str">
        <f>IF((P94)&gt;0,"","*")</f>
        <v>*</v>
      </c>
      <c r="S94" s="94"/>
      <c r="T94" s="8"/>
      <c r="U94" s="8"/>
      <c r="V94" s="8"/>
      <c r="W94" s="8"/>
      <c r="X94" s="8"/>
      <c r="Y94" s="113"/>
      <c r="Z94" s="94"/>
      <c r="AA94" s="94"/>
      <c r="AB94" s="94"/>
      <c r="AC94" s="94"/>
      <c r="AD94" s="94"/>
      <c r="AE94" s="8"/>
      <c r="AF94" s="4"/>
      <c r="AG94" s="4"/>
      <c r="AH94" s="134" t="s">
        <v>511</v>
      </c>
      <c r="AI94" s="134">
        <v>88</v>
      </c>
      <c r="AJ94" s="139" t="s">
        <v>809</v>
      </c>
      <c r="AK94" s="4"/>
      <c r="AL94" s="4"/>
      <c r="AM94" s="17" t="s">
        <v>1103</v>
      </c>
      <c r="AN94" s="17" t="s">
        <v>643</v>
      </c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9" t="s">
        <v>831</v>
      </c>
      <c r="BE94" s="4"/>
      <c r="BF94" s="4"/>
      <c r="BG94" s="4"/>
      <c r="BH94" s="4"/>
      <c r="BI94" s="17" t="s">
        <v>105</v>
      </c>
      <c r="BJ94" s="4"/>
      <c r="BK94" s="4"/>
      <c r="BL94" s="4"/>
      <c r="BM94" s="4"/>
      <c r="BN94" s="4"/>
      <c r="BO94" s="4"/>
    </row>
    <row r="95" spans="1:67" ht="14" thickBot="1">
      <c r="A95" s="6"/>
      <c r="B95" s="8"/>
      <c r="C95" s="8" t="s">
        <v>1310</v>
      </c>
      <c r="D95" s="8"/>
      <c r="E95" s="69"/>
      <c r="F95" s="70"/>
      <c r="G95" s="71"/>
      <c r="H95" s="277"/>
      <c r="I95" s="278"/>
      <c r="J95" s="72"/>
      <c r="K95" s="8"/>
      <c r="L95" s="8"/>
      <c r="M95" s="233"/>
      <c r="N95" s="234"/>
      <c r="O95" s="87" t="s">
        <v>604</v>
      </c>
      <c r="P95" s="159">
        <f>LEN(E95 &amp; F95 &amp; G95 &amp; H95) * LEN(J95)</f>
        <v>0</v>
      </c>
      <c r="Q95" s="161"/>
      <c r="R95" s="87" t="str">
        <f>IF((P95)&gt;0,"","*")</f>
        <v>*</v>
      </c>
      <c r="S95" s="94"/>
      <c r="T95" s="8"/>
      <c r="U95" s="8"/>
      <c r="V95" s="8"/>
      <c r="W95" s="8"/>
      <c r="X95" s="8"/>
      <c r="Y95" s="113"/>
      <c r="Z95" s="94"/>
      <c r="AA95" s="94"/>
      <c r="AB95" s="94"/>
      <c r="AC95" s="94"/>
      <c r="AD95" s="94"/>
      <c r="AE95" s="8"/>
      <c r="AF95" s="4"/>
      <c r="AG95" s="4"/>
      <c r="AH95" s="134" t="s">
        <v>466</v>
      </c>
      <c r="AI95" s="134">
        <v>89</v>
      </c>
      <c r="AJ95" s="139" t="s">
        <v>816</v>
      </c>
      <c r="AK95" s="4"/>
      <c r="AL95" s="4"/>
      <c r="AM95" s="17" t="s">
        <v>1104</v>
      </c>
      <c r="AN95" s="17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9" t="s">
        <v>832</v>
      </c>
      <c r="BE95" s="4"/>
      <c r="BF95" s="4"/>
      <c r="BG95" s="4"/>
      <c r="BH95" s="4"/>
      <c r="BI95" s="17" t="s">
        <v>124</v>
      </c>
      <c r="BJ95" s="4"/>
      <c r="BK95" s="4"/>
      <c r="BL95" s="4"/>
      <c r="BM95" s="4"/>
      <c r="BN95" s="4"/>
      <c r="BO95" s="4"/>
    </row>
    <row r="96" spans="1:67">
      <c r="A96" s="6"/>
      <c r="B96" s="8"/>
      <c r="C96" s="8" t="s">
        <v>1312</v>
      </c>
      <c r="D96" s="8"/>
      <c r="E96" s="69"/>
      <c r="F96" s="70"/>
      <c r="G96" s="71"/>
      <c r="H96" s="277"/>
      <c r="I96" s="278"/>
      <c r="J96" s="72"/>
      <c r="K96" s="8"/>
      <c r="L96" s="8"/>
      <c r="M96" s="233"/>
      <c r="N96" s="234"/>
      <c r="O96" s="87" t="s">
        <v>604</v>
      </c>
      <c r="P96" s="159">
        <f>LEN(E96 &amp; F96 &amp; G96 &amp; H96) * LEN(J96)</f>
        <v>0</v>
      </c>
      <c r="Q96" s="161"/>
      <c r="R96" s="87" t="str">
        <f>IF((P96)&gt;0,"","*")</f>
        <v>*</v>
      </c>
      <c r="S96" s="94"/>
      <c r="T96" s="8"/>
      <c r="U96" s="8"/>
      <c r="V96" s="8"/>
      <c r="W96" s="8"/>
      <c r="X96" s="8"/>
      <c r="Y96" s="113"/>
      <c r="Z96" s="94"/>
      <c r="AA96" s="94"/>
      <c r="AB96" s="94"/>
      <c r="AC96" s="94"/>
      <c r="AD96" s="94"/>
      <c r="AE96" s="8"/>
      <c r="AF96" s="4"/>
      <c r="AG96" s="4"/>
      <c r="AH96" s="134" t="s">
        <v>467</v>
      </c>
      <c r="AI96" s="134">
        <v>90</v>
      </c>
      <c r="AJ96" s="139" t="s">
        <v>816</v>
      </c>
      <c r="AK96" s="4"/>
      <c r="AL96" s="4"/>
      <c r="AM96" s="17" t="s">
        <v>1105</v>
      </c>
      <c r="AN96" s="17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9">
        <v>14</v>
      </c>
      <c r="BE96" s="4"/>
      <c r="BF96" s="4"/>
      <c r="BG96" s="4"/>
      <c r="BH96" s="4"/>
      <c r="BI96" s="17" t="s">
        <v>108</v>
      </c>
      <c r="BJ96" s="4"/>
      <c r="BK96" s="4"/>
      <c r="BL96" s="4"/>
      <c r="BM96" s="4"/>
      <c r="BN96" s="4"/>
      <c r="BO96" s="4"/>
    </row>
    <row r="97" spans="1:67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7"/>
      <c r="P97" s="87"/>
      <c r="Q97" s="87"/>
      <c r="R97" s="87"/>
      <c r="S97" s="94"/>
      <c r="T97" s="8"/>
      <c r="U97" s="8"/>
      <c r="V97" s="8"/>
      <c r="W97" s="8"/>
      <c r="X97" s="8"/>
      <c r="Y97" s="113"/>
      <c r="Z97" s="94"/>
      <c r="AA97" s="94"/>
      <c r="AB97" s="94"/>
      <c r="AC97" s="94"/>
      <c r="AD97" s="94"/>
      <c r="AE97" s="8"/>
      <c r="AF97" s="4"/>
      <c r="AG97" s="4"/>
      <c r="AH97" s="134" t="s">
        <v>512</v>
      </c>
      <c r="AI97" s="134">
        <v>91</v>
      </c>
      <c r="AJ97" s="139" t="s">
        <v>816</v>
      </c>
      <c r="AK97" s="4"/>
      <c r="AL97" s="4"/>
      <c r="AM97" s="17" t="s">
        <v>1106</v>
      </c>
      <c r="AN97" s="17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9" t="s">
        <v>833</v>
      </c>
      <c r="BE97" s="4"/>
      <c r="BF97" s="4"/>
      <c r="BG97" s="4"/>
      <c r="BH97" s="4"/>
      <c r="BI97" s="17" t="s">
        <v>128</v>
      </c>
      <c r="BJ97" s="4"/>
      <c r="BK97" s="4"/>
      <c r="BL97" s="4"/>
      <c r="BM97" s="4"/>
      <c r="BN97" s="4"/>
      <c r="BO97" s="4"/>
    </row>
    <row r="98" spans="1:67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7"/>
      <c r="P98" s="87"/>
      <c r="Q98" s="87"/>
      <c r="R98" s="87"/>
      <c r="S98" s="94"/>
      <c r="T98" s="155"/>
      <c r="U98" s="155"/>
      <c r="V98" s="155"/>
      <c r="W98" s="155"/>
      <c r="X98" s="155"/>
      <c r="Y98" s="113"/>
      <c r="Z98" s="94"/>
      <c r="AA98" s="94"/>
      <c r="AB98" s="94"/>
      <c r="AC98" s="94"/>
      <c r="AD98" s="94"/>
      <c r="AE98" s="8"/>
      <c r="AF98" s="4"/>
      <c r="AG98" s="4"/>
      <c r="AH98" s="134" t="s">
        <v>475</v>
      </c>
      <c r="AI98" s="134">
        <v>92</v>
      </c>
      <c r="AJ98" s="139" t="s">
        <v>816</v>
      </c>
      <c r="AK98" s="4"/>
      <c r="AL98" s="4"/>
      <c r="AM98" s="17" t="s">
        <v>1107</v>
      </c>
      <c r="AN98" s="17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9">
        <v>15</v>
      </c>
      <c r="BE98" s="4"/>
      <c r="BF98" s="4"/>
      <c r="BG98" s="4"/>
      <c r="BH98" s="4"/>
      <c r="BI98" s="17" t="s">
        <v>1017</v>
      </c>
      <c r="BJ98" s="4"/>
      <c r="BK98" s="4"/>
      <c r="BL98" s="4"/>
      <c r="BM98" s="4"/>
      <c r="BN98" s="4"/>
      <c r="BO98" s="4"/>
    </row>
    <row r="99" spans="1:67" ht="18">
      <c r="A99" s="6"/>
      <c r="B99" s="10" t="s">
        <v>1314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4"/>
      <c r="P99" s="94"/>
      <c r="Q99" s="123"/>
      <c r="R99" s="123"/>
      <c r="S99" s="123"/>
      <c r="T99" s="8"/>
      <c r="U99" s="8"/>
      <c r="V99" s="8"/>
      <c r="W99" s="155"/>
      <c r="X99" s="155"/>
      <c r="Y99" s="155"/>
      <c r="Z99" s="155"/>
      <c r="AA99" s="155"/>
      <c r="AB99" s="94"/>
      <c r="AC99" s="94"/>
      <c r="AD99" s="94"/>
      <c r="AE99" s="8"/>
      <c r="AF99" s="4"/>
      <c r="AG99" s="4"/>
      <c r="AH99" s="134" t="s">
        <v>1243</v>
      </c>
      <c r="AI99" s="134">
        <v>93</v>
      </c>
      <c r="AJ99" s="139" t="s">
        <v>816</v>
      </c>
      <c r="AK99" s="4"/>
      <c r="AL99" s="4"/>
      <c r="AM99" s="17" t="s">
        <v>1108</v>
      </c>
      <c r="AN99" s="17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9" t="s">
        <v>585</v>
      </c>
      <c r="BE99" s="4"/>
      <c r="BF99" s="4"/>
      <c r="BG99" s="4"/>
      <c r="BH99" s="4"/>
      <c r="BI99" s="17" t="s">
        <v>146</v>
      </c>
      <c r="BJ99" s="4"/>
      <c r="BK99" s="4"/>
      <c r="BL99" s="4"/>
      <c r="BM99" s="4"/>
      <c r="BN99" s="4"/>
      <c r="BO99" s="4"/>
    </row>
    <row r="100" spans="1:67" ht="26.25" customHeight="1" thickBot="1">
      <c r="A100" s="6"/>
      <c r="B100" s="8"/>
      <c r="C100" s="8"/>
      <c r="D100" s="8"/>
      <c r="E100" s="8"/>
      <c r="F100" s="8"/>
      <c r="G100" s="8"/>
      <c r="H100" s="8"/>
      <c r="I100" s="366" t="s">
        <v>763</v>
      </c>
      <c r="J100" s="367"/>
      <c r="K100" s="38" t="s">
        <v>1317</v>
      </c>
      <c r="L100" s="38" t="s">
        <v>1318</v>
      </c>
      <c r="M100" s="206" t="s">
        <v>1319</v>
      </c>
      <c r="N100" s="206"/>
      <c r="O100" s="38" t="s">
        <v>1320</v>
      </c>
      <c r="P100" s="206" t="s">
        <v>851</v>
      </c>
      <c r="Q100" s="206"/>
      <c r="R100" s="206" t="s">
        <v>971</v>
      </c>
      <c r="S100" s="206"/>
      <c r="T100" s="206" t="s">
        <v>859</v>
      </c>
      <c r="U100" s="206"/>
      <c r="V100" s="38" t="s">
        <v>859</v>
      </c>
      <c r="W100" s="155" t="s">
        <v>739</v>
      </c>
      <c r="X100" s="155"/>
      <c r="Y100" s="155"/>
      <c r="Z100" s="155"/>
      <c r="AA100" s="155"/>
      <c r="AB100" s="94"/>
      <c r="AC100" s="94"/>
      <c r="AD100" s="94"/>
      <c r="AE100" s="8"/>
      <c r="AF100" s="4"/>
      <c r="AG100" s="4"/>
      <c r="AH100" s="134" t="s">
        <v>1244</v>
      </c>
      <c r="AI100" s="134">
        <v>94</v>
      </c>
      <c r="AJ100" s="139" t="s">
        <v>816</v>
      </c>
      <c r="AK100" s="4"/>
      <c r="AL100" s="4"/>
      <c r="AM100" s="17" t="s">
        <v>1109</v>
      </c>
      <c r="AN100" s="17" t="s">
        <v>644</v>
      </c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9" t="s">
        <v>567</v>
      </c>
      <c r="BE100" s="4"/>
      <c r="BF100" s="4"/>
      <c r="BG100" s="4"/>
      <c r="BH100" s="4"/>
      <c r="BI100" s="17" t="s">
        <v>148</v>
      </c>
      <c r="BJ100" s="4"/>
      <c r="BK100" s="4"/>
      <c r="BL100" s="4"/>
      <c r="BM100" s="4"/>
      <c r="BN100" s="4"/>
      <c r="BO100" s="4"/>
    </row>
    <row r="101" spans="1:67" ht="26.5" customHeight="1" thickBot="1">
      <c r="A101" s="162" t="str">
        <f>IF(ISBLANK(PlDiplomType),"",LOOKUP(PlDiplomType,PLLicences,PlLicCodes))</f>
        <v/>
      </c>
      <c r="B101" s="95"/>
      <c r="C101" s="8"/>
      <c r="D101" s="8"/>
      <c r="E101" s="16" t="s">
        <v>1315</v>
      </c>
      <c r="F101" s="279"/>
      <c r="G101" s="280"/>
      <c r="H101" s="280"/>
      <c r="I101" s="280"/>
      <c r="J101" s="281"/>
      <c r="K101" s="73"/>
      <c r="L101" s="74"/>
      <c r="M101" s="349"/>
      <c r="N101" s="350"/>
      <c r="O101" s="74"/>
      <c r="P101" s="204"/>
      <c r="Q101" s="205"/>
      <c r="R101" s="204"/>
      <c r="S101" s="205"/>
      <c r="T101" s="204"/>
      <c r="U101" s="205"/>
      <c r="V101" s="180"/>
      <c r="W101" s="155"/>
      <c r="X101" s="155">
        <f>LEN(F101)*LEN(K101 &amp;L101)</f>
        <v>0</v>
      </c>
      <c r="Y101" s="155" t="str">
        <f t="shared" ref="Y101:Y106" si="1">IF((X101)&gt;0,"","*")</f>
        <v>*</v>
      </c>
      <c r="Z101" s="155"/>
      <c r="AA101" s="155"/>
      <c r="AB101" s="8"/>
      <c r="AC101" s="8"/>
      <c r="AD101" s="8"/>
      <c r="AE101" s="8"/>
      <c r="AF101" s="8"/>
      <c r="AG101" s="4"/>
      <c r="AH101" s="134" t="s">
        <v>1245</v>
      </c>
      <c r="AI101" s="134">
        <v>95</v>
      </c>
      <c r="AJ101" s="139" t="s">
        <v>808</v>
      </c>
      <c r="AK101" s="4"/>
      <c r="AL101" s="4"/>
      <c r="AM101" s="17" t="s">
        <v>1110</v>
      </c>
      <c r="AN101" s="17" t="s">
        <v>645</v>
      </c>
      <c r="AO101" s="89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9" t="s">
        <v>565</v>
      </c>
      <c r="BE101" s="4"/>
      <c r="BF101" s="4"/>
      <c r="BG101" s="4"/>
      <c r="BH101" s="4"/>
      <c r="BI101" s="17" t="s">
        <v>147</v>
      </c>
      <c r="BJ101" s="4"/>
      <c r="BK101" s="4"/>
      <c r="BL101" s="4"/>
      <c r="BM101" s="4"/>
      <c r="BN101" s="4"/>
      <c r="BO101" s="4"/>
    </row>
    <row r="102" spans="1:67" ht="26.5" customHeight="1" thickBot="1">
      <c r="A102" s="163">
        <v>35</v>
      </c>
      <c r="B102" s="95"/>
      <c r="C102" s="8"/>
      <c r="D102" s="8"/>
      <c r="E102" s="16"/>
      <c r="F102" s="87" t="str">
        <f xml:space="preserve"> "National Endorsement: " &amp; F101</f>
        <v xml:space="preserve">National Endorsement: </v>
      </c>
      <c r="G102" s="8"/>
      <c r="H102" s="16" t="s">
        <v>1380</v>
      </c>
      <c r="I102" s="357"/>
      <c r="J102" s="358"/>
      <c r="K102" s="73"/>
      <c r="L102" s="74"/>
      <c r="M102" s="348"/>
      <c r="N102" s="348"/>
      <c r="O102" s="74"/>
      <c r="P102" s="204"/>
      <c r="Q102" s="205"/>
      <c r="R102" s="204"/>
      <c r="S102" s="205"/>
      <c r="T102" s="204"/>
      <c r="U102" s="205"/>
      <c r="V102" s="180"/>
      <c r="W102" s="155" t="str">
        <f>IF(ISBLANK(PlDiplomType),"",LOOKUP(PlDiplomType,PLLicences,AO7:AO60))</f>
        <v/>
      </c>
      <c r="X102" s="155">
        <f>LEN(I102)*LEN(K102 &amp; L102)</f>
        <v>0</v>
      </c>
      <c r="Y102" s="155" t="str">
        <f t="shared" si="1"/>
        <v>*</v>
      </c>
      <c r="Z102" s="155"/>
      <c r="AA102" s="155"/>
      <c r="AB102" s="8"/>
      <c r="AC102" s="8"/>
      <c r="AD102" s="8"/>
      <c r="AE102" s="8"/>
      <c r="AF102" s="4"/>
      <c r="AG102" s="4"/>
      <c r="AH102" s="134" t="s">
        <v>462</v>
      </c>
      <c r="AI102" s="134">
        <v>96</v>
      </c>
      <c r="AJ102" s="139" t="s">
        <v>808</v>
      </c>
      <c r="AK102" s="4"/>
      <c r="AL102" s="4"/>
      <c r="AM102" s="17" t="s">
        <v>1111</v>
      </c>
      <c r="AN102" s="17" t="s">
        <v>646</v>
      </c>
      <c r="AO102" s="89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9" t="s">
        <v>566</v>
      </c>
      <c r="BE102" s="4"/>
      <c r="BF102" s="4"/>
      <c r="BG102" s="4"/>
      <c r="BH102" s="4"/>
      <c r="BI102" s="17" t="s">
        <v>1016</v>
      </c>
      <c r="BJ102" s="4"/>
      <c r="BK102" s="4"/>
      <c r="BL102" s="4"/>
      <c r="BM102" s="4"/>
      <c r="BN102" s="4"/>
      <c r="BO102" s="4"/>
    </row>
    <row r="103" spans="1:67" ht="26.5" customHeight="1" thickBot="1">
      <c r="A103" s="163" t="str">
        <f>IF(ISBLANK(PlDiplom2Type),"",LOOKUP(PlDiplom2Type,PLLicences,PlLicCodes))</f>
        <v/>
      </c>
      <c r="B103" s="95"/>
      <c r="C103" s="8"/>
      <c r="D103" s="8"/>
      <c r="E103" s="16" t="s">
        <v>1316</v>
      </c>
      <c r="F103" s="279"/>
      <c r="G103" s="280"/>
      <c r="H103" s="280"/>
      <c r="I103" s="280"/>
      <c r="J103" s="281"/>
      <c r="K103" s="73"/>
      <c r="L103" s="74"/>
      <c r="M103" s="348"/>
      <c r="N103" s="348"/>
      <c r="O103" s="74"/>
      <c r="P103" s="204"/>
      <c r="Q103" s="205"/>
      <c r="R103" s="204"/>
      <c r="S103" s="205"/>
      <c r="T103" s="204"/>
      <c r="U103" s="205"/>
      <c r="V103" s="180"/>
      <c r="W103" s="155"/>
      <c r="X103" s="155">
        <f>LEN(F103)*LEN(K103 &amp;L103)</f>
        <v>0</v>
      </c>
      <c r="Y103" s="155" t="str">
        <f t="shared" si="1"/>
        <v>*</v>
      </c>
      <c r="Z103" s="155"/>
      <c r="AA103" s="155"/>
      <c r="AB103" s="8"/>
      <c r="AC103" s="8"/>
      <c r="AD103" s="8"/>
      <c r="AE103" s="8"/>
      <c r="AF103" s="4"/>
      <c r="AG103" s="4"/>
      <c r="AH103" s="134" t="s">
        <v>499</v>
      </c>
      <c r="AI103" s="134">
        <v>97</v>
      </c>
      <c r="AJ103" s="139" t="s">
        <v>808</v>
      </c>
      <c r="AK103" s="4"/>
      <c r="AL103" s="4"/>
      <c r="AM103" s="17" t="s">
        <v>1112</v>
      </c>
      <c r="AN103" s="17" t="s">
        <v>647</v>
      </c>
      <c r="AO103" s="89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9">
        <v>16</v>
      </c>
      <c r="BE103" s="4"/>
      <c r="BF103" s="4"/>
      <c r="BG103" s="4"/>
      <c r="BH103" s="4"/>
      <c r="BI103" s="17" t="s">
        <v>138</v>
      </c>
      <c r="BJ103" s="4"/>
      <c r="BK103" s="4"/>
      <c r="BL103" s="4"/>
      <c r="BM103" s="4"/>
      <c r="BN103" s="4"/>
      <c r="BO103" s="4"/>
    </row>
    <row r="104" spans="1:67" ht="26.5" customHeight="1" thickBot="1">
      <c r="A104" s="163">
        <v>48</v>
      </c>
      <c r="B104" s="95"/>
      <c r="C104" s="8"/>
      <c r="D104" s="8"/>
      <c r="E104" s="16"/>
      <c r="F104" s="87" t="str">
        <f xml:space="preserve"> "National Endorsement: " &amp; F103</f>
        <v xml:space="preserve">National Endorsement: </v>
      </c>
      <c r="G104" s="8"/>
      <c r="H104" s="16" t="s">
        <v>1380</v>
      </c>
      <c r="I104" s="364"/>
      <c r="J104" s="365"/>
      <c r="K104" s="73"/>
      <c r="L104" s="74"/>
      <c r="M104" s="348"/>
      <c r="N104" s="348"/>
      <c r="O104" s="74"/>
      <c r="P104" s="204"/>
      <c r="Q104" s="205"/>
      <c r="R104" s="204"/>
      <c r="S104" s="205"/>
      <c r="T104" s="204"/>
      <c r="U104" s="205"/>
      <c r="V104" s="180"/>
      <c r="W104" s="155" t="str">
        <f>IF(ISBLANK(PlDiplom2Type),"",LOOKUP(PlDiplom2Type,PLLicences,AO7:AO60))</f>
        <v/>
      </c>
      <c r="X104" s="155">
        <f>LEN(I104)*LEN(K104 &amp; L104)</f>
        <v>0</v>
      </c>
      <c r="Y104" s="155" t="str">
        <f t="shared" si="1"/>
        <v>*</v>
      </c>
      <c r="Z104" s="155"/>
      <c r="AA104" s="155"/>
      <c r="AB104" s="8"/>
      <c r="AC104" s="8"/>
      <c r="AD104" s="8"/>
      <c r="AE104" s="8"/>
      <c r="AF104" s="4"/>
      <c r="AG104" s="4"/>
      <c r="AH104" s="134" t="s">
        <v>463</v>
      </c>
      <c r="AI104" s="134">
        <v>98</v>
      </c>
      <c r="AJ104" s="139" t="s">
        <v>808</v>
      </c>
      <c r="AK104" s="4"/>
      <c r="AL104" s="4"/>
      <c r="AM104" s="17" t="s">
        <v>1113</v>
      </c>
      <c r="AN104" s="17" t="s">
        <v>648</v>
      </c>
      <c r="AO104" s="89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9" t="s">
        <v>789</v>
      </c>
      <c r="BE104" s="4"/>
      <c r="BF104" s="4"/>
      <c r="BG104" s="4"/>
      <c r="BH104" s="4"/>
      <c r="BI104" s="17" t="s">
        <v>139</v>
      </c>
      <c r="BJ104" s="4"/>
      <c r="BK104" s="4"/>
      <c r="BL104" s="4"/>
      <c r="BM104" s="4"/>
      <c r="BN104" s="4"/>
      <c r="BO104" s="4"/>
    </row>
    <row r="105" spans="1:67" ht="28.5" customHeight="1" thickBot="1">
      <c r="A105" s="163" t="str">
        <f>IF(ISBLANK(F105),"",LOOKUP(F105,PLLicences,PlLicCodes))</f>
        <v/>
      </c>
      <c r="B105" s="95"/>
      <c r="C105" s="8"/>
      <c r="D105" s="8"/>
      <c r="E105" s="16" t="s">
        <v>24</v>
      </c>
      <c r="F105" s="279"/>
      <c r="G105" s="280"/>
      <c r="H105" s="280"/>
      <c r="I105" s="280"/>
      <c r="J105" s="281"/>
      <c r="K105" s="73"/>
      <c r="L105" s="74"/>
      <c r="M105" s="348"/>
      <c r="N105" s="348"/>
      <c r="O105" s="74"/>
      <c r="P105" s="204"/>
      <c r="Q105" s="205"/>
      <c r="R105" s="204"/>
      <c r="S105" s="205"/>
      <c r="T105" s="204"/>
      <c r="U105" s="205"/>
      <c r="V105" s="180"/>
      <c r="W105" s="155"/>
      <c r="X105" s="155">
        <f>LEN(F105)*LEN(K105 &amp;L105)</f>
        <v>0</v>
      </c>
      <c r="Y105" s="155" t="str">
        <f t="shared" si="1"/>
        <v>*</v>
      </c>
      <c r="Z105" s="155"/>
      <c r="AA105" s="155"/>
      <c r="AB105" s="8"/>
      <c r="AC105" s="8"/>
      <c r="AD105" s="8"/>
      <c r="AE105" s="8"/>
      <c r="AF105" s="4"/>
      <c r="AG105" s="4"/>
      <c r="AH105" s="134" t="s">
        <v>500</v>
      </c>
      <c r="AI105" s="134">
        <v>99</v>
      </c>
      <c r="AJ105" s="139" t="s">
        <v>808</v>
      </c>
      <c r="AK105" s="4"/>
      <c r="AL105" s="4"/>
      <c r="AM105" s="17" t="s">
        <v>1114</v>
      </c>
      <c r="AN105" s="17" t="s">
        <v>649</v>
      </c>
      <c r="AO105" s="89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9">
        <v>17</v>
      </c>
      <c r="BE105" s="4"/>
      <c r="BF105" s="4"/>
      <c r="BG105" s="4"/>
      <c r="BH105" s="4"/>
      <c r="BI105" s="17"/>
      <c r="BJ105" s="4"/>
      <c r="BK105" s="4"/>
      <c r="BL105" s="4"/>
      <c r="BM105" s="4"/>
      <c r="BN105" s="4"/>
      <c r="BO105" s="4"/>
    </row>
    <row r="106" spans="1:67" ht="28.5" customHeight="1" thickBot="1">
      <c r="A106" s="163">
        <v>49</v>
      </c>
      <c r="B106" s="95"/>
      <c r="C106" s="8"/>
      <c r="D106" s="8"/>
      <c r="E106" s="8"/>
      <c r="F106" s="87" t="str">
        <f xml:space="preserve"> "National Endorsement: " &amp; F105</f>
        <v xml:space="preserve">National Endorsement: </v>
      </c>
      <c r="G106" s="8"/>
      <c r="H106" s="16" t="s">
        <v>1380</v>
      </c>
      <c r="I106" s="364"/>
      <c r="J106" s="365"/>
      <c r="K106" s="73"/>
      <c r="L106" s="74"/>
      <c r="M106" s="348"/>
      <c r="N106" s="348"/>
      <c r="O106" s="74"/>
      <c r="P106" s="204"/>
      <c r="Q106" s="205"/>
      <c r="R106" s="204"/>
      <c r="S106" s="205"/>
      <c r="T106" s="204"/>
      <c r="U106" s="205"/>
      <c r="V106" s="180"/>
      <c r="W106" s="155" t="str">
        <f>IF(ISBLANK(F105),"",LOOKUP(F105,PLLicences,AO7:AO60))</f>
        <v/>
      </c>
      <c r="X106" s="155">
        <f>LEN(I106)*LEN(K106 &amp; L106)</f>
        <v>0</v>
      </c>
      <c r="Y106" s="155" t="str">
        <f t="shared" si="1"/>
        <v>*</v>
      </c>
      <c r="Z106" s="155"/>
      <c r="AA106" s="155"/>
      <c r="AB106" s="8"/>
      <c r="AC106" s="8"/>
      <c r="AD106" s="8"/>
      <c r="AE106" s="8"/>
      <c r="AF106" s="4"/>
      <c r="AG106" s="4"/>
      <c r="AH106" s="134" t="s">
        <v>501</v>
      </c>
      <c r="AI106" s="134">
        <v>100</v>
      </c>
      <c r="AJ106" s="139" t="s">
        <v>808</v>
      </c>
      <c r="AK106" s="4"/>
      <c r="AL106" s="4"/>
      <c r="AM106" s="17" t="s">
        <v>1115</v>
      </c>
      <c r="AN106" s="17" t="s">
        <v>650</v>
      </c>
      <c r="AO106" s="89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9" t="s">
        <v>593</v>
      </c>
      <c r="BE106" s="4"/>
      <c r="BF106" s="4"/>
      <c r="BG106" s="4"/>
      <c r="BH106" s="4"/>
      <c r="BI106" s="17" t="s">
        <v>112</v>
      </c>
      <c r="BJ106" s="4"/>
      <c r="BK106" s="4"/>
      <c r="BL106" s="4"/>
      <c r="BM106" s="4"/>
      <c r="BN106" s="4"/>
      <c r="BO106" s="4"/>
    </row>
    <row r="107" spans="1:67">
      <c r="A107" s="16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7"/>
      <c r="Q107" s="155"/>
      <c r="R107" s="95"/>
      <c r="S107" s="95"/>
      <c r="T107" s="155"/>
      <c r="U107" s="155"/>
      <c r="V107" s="155"/>
      <c r="W107" s="155"/>
      <c r="X107" s="155">
        <f>X101+X103+X105</f>
        <v>0</v>
      </c>
      <c r="Y107" s="155"/>
      <c r="Z107" s="155"/>
      <c r="AA107" s="155"/>
      <c r="AB107" s="8"/>
      <c r="AC107" s="8"/>
      <c r="AD107" s="8"/>
      <c r="AE107" s="8"/>
      <c r="AF107" s="4"/>
      <c r="AG107" s="4"/>
      <c r="AH107" s="134" t="s">
        <v>503</v>
      </c>
      <c r="AI107" s="134">
        <v>101</v>
      </c>
      <c r="AJ107" s="139" t="s">
        <v>808</v>
      </c>
      <c r="AK107" s="4"/>
      <c r="AL107" s="4"/>
      <c r="AM107" s="17" t="s">
        <v>1116</v>
      </c>
      <c r="AN107" s="17" t="s">
        <v>651</v>
      </c>
      <c r="AO107" s="89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9" t="s">
        <v>563</v>
      </c>
      <c r="BE107" s="4"/>
      <c r="BF107" s="4"/>
      <c r="BG107" s="4"/>
      <c r="BH107" s="4"/>
      <c r="BI107" s="17" t="s">
        <v>1002</v>
      </c>
      <c r="BJ107" s="4"/>
      <c r="BK107" s="4"/>
      <c r="BL107" s="4"/>
      <c r="BM107" s="4"/>
      <c r="BN107" s="4"/>
      <c r="BO107" s="4"/>
    </row>
    <row r="108" spans="1:67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95"/>
      <c r="R108" s="95"/>
      <c r="S108" s="95"/>
      <c r="T108" s="155"/>
      <c r="U108" s="155"/>
      <c r="V108" s="155"/>
      <c r="W108" s="155"/>
      <c r="X108" s="155"/>
      <c r="Y108" s="9"/>
      <c r="Z108" s="8"/>
      <c r="AA108" s="8"/>
      <c r="AB108" s="8"/>
      <c r="AC108" s="8"/>
      <c r="AD108" s="8"/>
      <c r="AE108" s="8"/>
      <c r="AF108" s="4"/>
      <c r="AG108" s="4"/>
      <c r="AH108" s="134" t="s">
        <v>502</v>
      </c>
      <c r="AI108" s="134">
        <v>102</v>
      </c>
      <c r="AJ108" s="139" t="s">
        <v>809</v>
      </c>
      <c r="AK108" s="4"/>
      <c r="AL108" s="4"/>
      <c r="AM108" s="17" t="s">
        <v>1117</v>
      </c>
      <c r="AN108" s="17" t="s">
        <v>652</v>
      </c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9" t="s">
        <v>564</v>
      </c>
      <c r="BE108" s="4"/>
      <c r="BF108" s="4"/>
      <c r="BG108" s="4"/>
      <c r="BH108" s="4"/>
      <c r="BI108" s="17" t="s">
        <v>143</v>
      </c>
      <c r="BJ108" s="4"/>
      <c r="BK108" s="4"/>
      <c r="BL108" s="4"/>
      <c r="BM108" s="4"/>
      <c r="BN108" s="4"/>
      <c r="BO108" s="4"/>
    </row>
    <row r="109" spans="1:67" ht="14" thickBot="1">
      <c r="A109" s="6"/>
      <c r="B109" s="351" t="s">
        <v>1321</v>
      </c>
      <c r="C109" s="351"/>
      <c r="D109" s="351"/>
      <c r="E109" s="351"/>
      <c r="F109" s="351"/>
      <c r="G109" s="283" t="s">
        <v>1327</v>
      </c>
      <c r="H109" s="283"/>
      <c r="I109" s="283"/>
      <c r="J109" s="283"/>
      <c r="K109" s="39" t="s">
        <v>1317</v>
      </c>
      <c r="L109" s="39" t="s">
        <v>1318</v>
      </c>
      <c r="M109" s="283" t="s">
        <v>1319</v>
      </c>
      <c r="N109" s="283"/>
      <c r="O109" s="39" t="s">
        <v>25</v>
      </c>
      <c r="P109" s="39" t="s">
        <v>1328</v>
      </c>
      <c r="Q109" s="94"/>
      <c r="R109" s="95"/>
      <c r="S109" s="95"/>
      <c r="T109" s="155"/>
      <c r="U109" s="155"/>
      <c r="V109" s="155"/>
      <c r="W109" s="155"/>
      <c r="X109" s="155"/>
      <c r="Y109" s="9"/>
      <c r="Z109" s="8"/>
      <c r="AA109" s="8"/>
      <c r="AB109" s="8"/>
      <c r="AC109" s="8"/>
      <c r="AD109" s="8"/>
      <c r="AE109" s="8"/>
      <c r="AF109" s="4"/>
      <c r="AG109" s="4"/>
      <c r="AH109" s="134" t="s">
        <v>504</v>
      </c>
      <c r="AI109" s="134">
        <v>103</v>
      </c>
      <c r="AJ109" s="139" t="s">
        <v>809</v>
      </c>
      <c r="AK109" s="4"/>
      <c r="AL109" s="4"/>
      <c r="AM109" s="17" t="s">
        <v>1118</v>
      </c>
      <c r="AN109" s="17" t="s">
        <v>653</v>
      </c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9" t="s">
        <v>790</v>
      </c>
      <c r="BE109" s="4"/>
      <c r="BF109" s="4"/>
      <c r="BG109" s="4"/>
      <c r="BH109" s="4"/>
      <c r="BI109" s="17" t="s">
        <v>996</v>
      </c>
      <c r="BJ109" s="4"/>
      <c r="BK109" s="4"/>
      <c r="BL109" s="4"/>
      <c r="BM109" s="4"/>
      <c r="BN109" s="4"/>
      <c r="BO109" s="4"/>
    </row>
    <row r="110" spans="1:67" ht="37.5" customHeight="1" thickBot="1">
      <c r="A110" s="6"/>
      <c r="B110" s="249" t="s">
        <v>1333</v>
      </c>
      <c r="C110" s="250"/>
      <c r="D110" s="250"/>
      <c r="E110" s="250"/>
      <c r="F110" s="257"/>
      <c r="G110" s="246" t="s">
        <v>770</v>
      </c>
      <c r="H110" s="247"/>
      <c r="I110" s="247"/>
      <c r="J110" s="248"/>
      <c r="K110" s="75"/>
      <c r="L110" s="76"/>
      <c r="M110" s="220"/>
      <c r="N110" s="221"/>
      <c r="O110" s="143"/>
      <c r="P110" s="181" t="s">
        <v>1350</v>
      </c>
      <c r="Q110" s="94"/>
      <c r="R110" s="94"/>
      <c r="S110" s="157">
        <f t="shared" ref="S110:S146" si="2">LEN(K110)*LEN(L110)*LEN(M110)</f>
        <v>0</v>
      </c>
      <c r="T110" s="155" t="str">
        <f t="shared" ref="T110:T158" si="3">IF((S110)&gt;0,"","*")</f>
        <v>*</v>
      </c>
      <c r="U110" s="155"/>
      <c r="V110" s="155"/>
      <c r="W110" s="155"/>
      <c r="X110" s="155"/>
      <c r="Y110" s="9"/>
      <c r="Z110" s="8"/>
      <c r="AA110" s="8"/>
      <c r="AB110" s="8"/>
      <c r="AC110" s="8"/>
      <c r="AD110" s="8"/>
      <c r="AE110" s="8"/>
      <c r="AF110" s="4"/>
      <c r="AG110" s="4"/>
      <c r="AH110" s="134" t="s">
        <v>506</v>
      </c>
      <c r="AI110" s="134">
        <v>104</v>
      </c>
      <c r="AJ110" s="139" t="s">
        <v>809</v>
      </c>
      <c r="AK110" s="4"/>
      <c r="AL110" s="4"/>
      <c r="AM110" s="17" t="s">
        <v>1119</v>
      </c>
      <c r="AN110" s="17" t="s">
        <v>654</v>
      </c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9" t="s">
        <v>834</v>
      </c>
      <c r="BE110" s="4"/>
      <c r="BF110" s="4"/>
      <c r="BG110" s="4"/>
      <c r="BH110" s="4"/>
      <c r="BI110" s="17" t="s">
        <v>995</v>
      </c>
      <c r="BJ110" s="4"/>
      <c r="BK110" s="4"/>
      <c r="BL110" s="4"/>
      <c r="BM110" s="4"/>
      <c r="BN110" s="4"/>
      <c r="BO110" s="4"/>
    </row>
    <row r="111" spans="1:67" ht="30.75" customHeight="1" thickBot="1">
      <c r="A111" s="6"/>
      <c r="B111" s="249" t="s">
        <v>1334</v>
      </c>
      <c r="C111" s="250"/>
      <c r="D111" s="250"/>
      <c r="E111" s="250"/>
      <c r="F111" s="257"/>
      <c r="G111" s="246" t="s">
        <v>769</v>
      </c>
      <c r="H111" s="247"/>
      <c r="I111" s="247"/>
      <c r="J111" s="248"/>
      <c r="K111" s="75"/>
      <c r="L111" s="76"/>
      <c r="M111" s="220"/>
      <c r="N111" s="221"/>
      <c r="O111" s="143"/>
      <c r="P111" s="181" t="s">
        <v>1350</v>
      </c>
      <c r="Q111" s="94"/>
      <c r="R111" s="94"/>
      <c r="S111" s="157">
        <f t="shared" si="2"/>
        <v>0</v>
      </c>
      <c r="T111" s="155" t="str">
        <f t="shared" si="3"/>
        <v>*</v>
      </c>
      <c r="U111" s="155"/>
      <c r="V111" s="155"/>
      <c r="W111" s="155"/>
      <c r="X111" s="155"/>
      <c r="Y111" s="9"/>
      <c r="Z111" s="8"/>
      <c r="AA111" s="8"/>
      <c r="AB111" s="8"/>
      <c r="AC111" s="8"/>
      <c r="AD111" s="8"/>
      <c r="AE111" s="8"/>
      <c r="AF111" s="4"/>
      <c r="AG111" s="4"/>
      <c r="AH111" s="134" t="s">
        <v>505</v>
      </c>
      <c r="AI111" s="134">
        <v>105</v>
      </c>
      <c r="AJ111" s="139" t="s">
        <v>809</v>
      </c>
      <c r="AK111" s="4"/>
      <c r="AL111" s="4"/>
      <c r="AM111" s="17" t="s">
        <v>1120</v>
      </c>
      <c r="AN111" s="17" t="s">
        <v>655</v>
      </c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9">
        <v>18</v>
      </c>
      <c r="BE111" s="4"/>
      <c r="BF111" s="4"/>
      <c r="BG111" s="4"/>
      <c r="BH111" s="4"/>
      <c r="BI111" s="17"/>
      <c r="BJ111" s="4"/>
      <c r="BK111" s="4"/>
      <c r="BL111" s="4"/>
      <c r="BM111" s="4"/>
      <c r="BN111" s="4"/>
      <c r="BO111" s="4"/>
    </row>
    <row r="112" spans="1:67" ht="56.25" customHeight="1" thickBot="1">
      <c r="A112" s="6"/>
      <c r="B112" s="249" t="s">
        <v>838</v>
      </c>
      <c r="C112" s="250"/>
      <c r="D112" s="250"/>
      <c r="E112" s="250"/>
      <c r="F112" s="257"/>
      <c r="G112" s="246" t="s">
        <v>839</v>
      </c>
      <c r="H112" s="247"/>
      <c r="I112" s="247"/>
      <c r="J112" s="248"/>
      <c r="K112" s="75"/>
      <c r="L112" s="76"/>
      <c r="M112" s="220"/>
      <c r="N112" s="221"/>
      <c r="O112" s="143"/>
      <c r="P112" s="182" t="s">
        <v>1350</v>
      </c>
      <c r="Q112" s="94"/>
      <c r="R112" s="94"/>
      <c r="S112" s="157">
        <f t="shared" si="2"/>
        <v>0</v>
      </c>
      <c r="T112" s="155" t="str">
        <f t="shared" si="3"/>
        <v>*</v>
      </c>
      <c r="U112" s="8"/>
      <c r="V112" s="8"/>
      <c r="W112" s="8"/>
      <c r="X112" s="8"/>
      <c r="Y112" s="9"/>
      <c r="Z112" s="8"/>
      <c r="AA112" s="8"/>
      <c r="AB112" s="8"/>
      <c r="AC112" s="8"/>
      <c r="AD112" s="8"/>
      <c r="AE112" s="8"/>
      <c r="AF112" s="4"/>
      <c r="AG112" s="4"/>
      <c r="AH112" s="134" t="s">
        <v>529</v>
      </c>
      <c r="AI112" s="134">
        <v>106</v>
      </c>
      <c r="AJ112" s="139" t="s">
        <v>813</v>
      </c>
      <c r="AK112" s="4"/>
      <c r="AL112" s="4"/>
      <c r="AM112" s="17" t="s">
        <v>1121</v>
      </c>
      <c r="AN112" s="17" t="s">
        <v>656</v>
      </c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9" t="s">
        <v>595</v>
      </c>
      <c r="BE112" s="4"/>
      <c r="BF112" s="4"/>
      <c r="BG112" s="4"/>
      <c r="BH112" s="4"/>
      <c r="BI112" s="19" t="s">
        <v>997</v>
      </c>
      <c r="BJ112" s="4"/>
      <c r="BK112" s="4"/>
      <c r="BL112" s="4"/>
      <c r="BM112" s="4"/>
      <c r="BN112" s="4"/>
      <c r="BO112" s="4"/>
    </row>
    <row r="113" spans="1:67" ht="30" customHeight="1" thickTop="1" thickBot="1">
      <c r="A113" s="6"/>
      <c r="B113" s="249"/>
      <c r="C113" s="250"/>
      <c r="D113" s="250"/>
      <c r="E113" s="250"/>
      <c r="F113" s="257"/>
      <c r="G113" s="246" t="s">
        <v>806</v>
      </c>
      <c r="H113" s="247"/>
      <c r="I113" s="247"/>
      <c r="J113" s="248"/>
      <c r="K113" s="75"/>
      <c r="L113" s="76"/>
      <c r="M113" s="220"/>
      <c r="N113" s="221"/>
      <c r="O113" s="179"/>
      <c r="P113" s="183" t="s">
        <v>845</v>
      </c>
      <c r="Q113" s="94"/>
      <c r="R113" s="94"/>
      <c r="S113" s="157">
        <f t="shared" si="2"/>
        <v>0</v>
      </c>
      <c r="T113" s="155" t="str">
        <f t="shared" si="3"/>
        <v>*</v>
      </c>
      <c r="U113" s="8"/>
      <c r="V113" s="8"/>
      <c r="W113" s="8"/>
      <c r="X113" s="8"/>
      <c r="Y113" s="9"/>
      <c r="Z113" s="8"/>
      <c r="AA113" s="8"/>
      <c r="AB113" s="8"/>
      <c r="AC113" s="8"/>
      <c r="AD113" s="8"/>
      <c r="AE113" s="8"/>
      <c r="AF113" s="4"/>
      <c r="AG113" s="4"/>
      <c r="AH113" s="134" t="s">
        <v>507</v>
      </c>
      <c r="AI113" s="134">
        <v>107</v>
      </c>
      <c r="AJ113" s="139" t="s">
        <v>813</v>
      </c>
      <c r="AK113" s="4"/>
      <c r="AL113" s="4"/>
      <c r="AM113" s="17" t="s">
        <v>1122</v>
      </c>
      <c r="AN113" s="17" t="s">
        <v>657</v>
      </c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9">
        <v>19</v>
      </c>
      <c r="BE113" s="4"/>
      <c r="BF113" s="4"/>
      <c r="BG113" s="4"/>
      <c r="BH113" s="4"/>
      <c r="BI113" s="8"/>
      <c r="BJ113" s="4"/>
      <c r="BK113" s="4"/>
      <c r="BL113" s="4"/>
      <c r="BM113" s="4"/>
      <c r="BN113" s="4"/>
      <c r="BO113" s="4"/>
    </row>
    <row r="114" spans="1:67" ht="13.5" customHeight="1" thickBot="1">
      <c r="A114" s="6"/>
      <c r="B114" s="249" t="s">
        <v>1326</v>
      </c>
      <c r="C114" s="250"/>
      <c r="D114" s="250"/>
      <c r="E114" s="250"/>
      <c r="F114" s="257"/>
      <c r="G114" s="246" t="s">
        <v>26</v>
      </c>
      <c r="H114" s="247"/>
      <c r="I114" s="247"/>
      <c r="J114" s="248"/>
      <c r="K114" s="75"/>
      <c r="L114" s="76"/>
      <c r="M114" s="220"/>
      <c r="N114" s="221"/>
      <c r="O114" s="179"/>
      <c r="P114" s="184"/>
      <c r="Q114" s="94"/>
      <c r="R114" s="94"/>
      <c r="S114" s="157">
        <f t="shared" si="2"/>
        <v>0</v>
      </c>
      <c r="T114" s="155" t="str">
        <f t="shared" si="3"/>
        <v>*</v>
      </c>
      <c r="U114" s="8"/>
      <c r="V114" s="8"/>
      <c r="W114" s="8"/>
      <c r="X114" s="8"/>
      <c r="Y114" s="9"/>
      <c r="Z114" s="8"/>
      <c r="AA114" s="8"/>
      <c r="AB114" s="8"/>
      <c r="AC114" s="8"/>
      <c r="AD114" s="8"/>
      <c r="AE114" s="8"/>
      <c r="AF114" s="4"/>
      <c r="AG114" s="4"/>
      <c r="AH114" s="134" t="s">
        <v>1246</v>
      </c>
      <c r="AI114" s="134">
        <v>108</v>
      </c>
      <c r="AJ114" s="139" t="s">
        <v>813</v>
      </c>
      <c r="AK114" s="4"/>
      <c r="AL114" s="4"/>
      <c r="AM114" s="17" t="s">
        <v>1123</v>
      </c>
      <c r="AN114" s="17" t="s">
        <v>658</v>
      </c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9" t="s">
        <v>791</v>
      </c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4" thickBot="1">
      <c r="A115" s="6"/>
      <c r="B115" s="249" t="s">
        <v>844</v>
      </c>
      <c r="C115" s="250"/>
      <c r="D115" s="250"/>
      <c r="E115" s="250"/>
      <c r="F115" s="257"/>
      <c r="G115" s="246" t="s">
        <v>755</v>
      </c>
      <c r="H115" s="247"/>
      <c r="I115" s="247"/>
      <c r="J115" s="248"/>
      <c r="K115" s="75"/>
      <c r="L115" s="76"/>
      <c r="M115" s="220"/>
      <c r="N115" s="221"/>
      <c r="O115" s="179"/>
      <c r="P115" s="184"/>
      <c r="Q115" s="94"/>
      <c r="R115" s="94"/>
      <c r="S115" s="157">
        <f t="shared" si="2"/>
        <v>0</v>
      </c>
      <c r="T115" s="155" t="str">
        <f t="shared" si="3"/>
        <v>*</v>
      </c>
      <c r="U115" s="8"/>
      <c r="V115" s="8"/>
      <c r="W115" s="8"/>
      <c r="X115" s="8"/>
      <c r="Y115" s="9"/>
      <c r="Z115" s="8"/>
      <c r="AA115" s="8"/>
      <c r="AB115" s="8"/>
      <c r="AC115" s="8"/>
      <c r="AD115" s="8"/>
      <c r="AE115" s="8"/>
      <c r="AF115" s="4"/>
      <c r="AG115" s="4"/>
      <c r="AH115" s="134" t="s">
        <v>1247</v>
      </c>
      <c r="AI115" s="134">
        <v>109</v>
      </c>
      <c r="AJ115" s="139" t="s">
        <v>813</v>
      </c>
      <c r="AK115" s="4"/>
      <c r="AL115" s="4"/>
      <c r="AM115" s="17" t="s">
        <v>1124</v>
      </c>
      <c r="AN115" s="17" t="s">
        <v>659</v>
      </c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9">
        <v>20</v>
      </c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4" thickBot="1">
      <c r="A116" s="6"/>
      <c r="B116" s="249" t="s">
        <v>1323</v>
      </c>
      <c r="C116" s="250"/>
      <c r="D116" s="250"/>
      <c r="E116" s="250"/>
      <c r="F116" s="257"/>
      <c r="G116" s="246" t="s">
        <v>756</v>
      </c>
      <c r="H116" s="247"/>
      <c r="I116" s="247"/>
      <c r="J116" s="248"/>
      <c r="K116" s="75"/>
      <c r="L116" s="76"/>
      <c r="M116" s="220"/>
      <c r="N116" s="221"/>
      <c r="O116" s="179"/>
      <c r="P116" s="184"/>
      <c r="Q116" s="94"/>
      <c r="R116" s="94"/>
      <c r="S116" s="157">
        <f t="shared" si="2"/>
        <v>0</v>
      </c>
      <c r="T116" s="155" t="str">
        <f t="shared" si="3"/>
        <v>*</v>
      </c>
      <c r="U116" s="8"/>
      <c r="V116" s="8"/>
      <c r="W116" s="8"/>
      <c r="X116" s="8"/>
      <c r="Y116" s="9"/>
      <c r="Z116" s="8"/>
      <c r="AA116" s="8"/>
      <c r="AB116" s="8"/>
      <c r="AC116" s="8"/>
      <c r="AD116" s="8"/>
      <c r="AE116" s="8"/>
      <c r="AF116" s="4"/>
      <c r="AG116" s="4"/>
      <c r="AH116" s="134" t="s">
        <v>526</v>
      </c>
      <c r="AI116" s="134">
        <v>110</v>
      </c>
      <c r="AJ116" s="139" t="s">
        <v>815</v>
      </c>
      <c r="AK116" s="4"/>
      <c r="AL116" s="4"/>
      <c r="AM116" s="17" t="s">
        <v>1125</v>
      </c>
      <c r="AN116" s="17" t="s">
        <v>662</v>
      </c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9" t="s">
        <v>976</v>
      </c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4" thickBot="1">
      <c r="A117" s="6"/>
      <c r="B117" s="249" t="s">
        <v>1324</v>
      </c>
      <c r="C117" s="250"/>
      <c r="D117" s="250"/>
      <c r="E117" s="250"/>
      <c r="F117" s="257"/>
      <c r="G117" s="246" t="s">
        <v>27</v>
      </c>
      <c r="H117" s="247"/>
      <c r="I117" s="247"/>
      <c r="J117" s="248"/>
      <c r="K117" s="75"/>
      <c r="L117" s="76"/>
      <c r="M117" s="220"/>
      <c r="N117" s="221"/>
      <c r="O117" s="179"/>
      <c r="P117" s="184"/>
      <c r="Q117" s="94"/>
      <c r="R117" s="94"/>
      <c r="S117" s="157">
        <f t="shared" si="2"/>
        <v>0</v>
      </c>
      <c r="T117" s="155" t="str">
        <f t="shared" si="3"/>
        <v>*</v>
      </c>
      <c r="U117" s="8"/>
      <c r="V117" s="8"/>
      <c r="W117" s="8"/>
      <c r="X117" s="8"/>
      <c r="Y117" s="9"/>
      <c r="Z117" s="8"/>
      <c r="AA117" s="8"/>
      <c r="AB117" s="8"/>
      <c r="AC117" s="8"/>
      <c r="AD117" s="8"/>
      <c r="AE117" s="8"/>
      <c r="AF117" s="4"/>
      <c r="AG117" s="4"/>
      <c r="AH117" s="134" t="s">
        <v>528</v>
      </c>
      <c r="AI117" s="134">
        <v>111</v>
      </c>
      <c r="AJ117" s="139" t="s">
        <v>816</v>
      </c>
      <c r="AK117" s="4"/>
      <c r="AL117" s="4"/>
      <c r="AM117" s="17" t="s">
        <v>1126</v>
      </c>
      <c r="AN117" s="17" t="s">
        <v>663</v>
      </c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9" t="s">
        <v>977</v>
      </c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4" thickBot="1">
      <c r="A118" s="6"/>
      <c r="B118" s="249" t="s">
        <v>847</v>
      </c>
      <c r="C118" s="250"/>
      <c r="D118" s="250"/>
      <c r="E118" s="250"/>
      <c r="F118" s="257"/>
      <c r="G118" s="246" t="s">
        <v>846</v>
      </c>
      <c r="H118" s="247"/>
      <c r="I118" s="247"/>
      <c r="J118" s="248"/>
      <c r="K118" s="75"/>
      <c r="L118" s="76"/>
      <c r="M118" s="220"/>
      <c r="N118" s="221"/>
      <c r="O118" s="179"/>
      <c r="P118" s="184"/>
      <c r="Q118" s="94"/>
      <c r="R118" s="94"/>
      <c r="S118" s="157">
        <f t="shared" si="2"/>
        <v>0</v>
      </c>
      <c r="T118" s="155" t="str">
        <f t="shared" si="3"/>
        <v>*</v>
      </c>
      <c r="U118" s="8"/>
      <c r="V118" s="8"/>
      <c r="W118" s="8"/>
      <c r="X118" s="8"/>
      <c r="Y118" s="9"/>
      <c r="Z118" s="8"/>
      <c r="AA118" s="8"/>
      <c r="AB118" s="8"/>
      <c r="AC118" s="8"/>
      <c r="AD118" s="8"/>
      <c r="AE118" s="8"/>
      <c r="AF118" s="4"/>
      <c r="AG118" s="4"/>
      <c r="AH118" s="134" t="s">
        <v>527</v>
      </c>
      <c r="AI118" s="134">
        <v>112</v>
      </c>
      <c r="AJ118" s="139" t="s">
        <v>816</v>
      </c>
      <c r="AK118" s="4"/>
      <c r="AL118" s="4"/>
      <c r="AM118" s="17" t="s">
        <v>1127</v>
      </c>
      <c r="AN118" s="17" t="s">
        <v>660</v>
      </c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9" t="s">
        <v>596</v>
      </c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4" thickBot="1">
      <c r="A119" s="6"/>
      <c r="B119" s="249" t="s">
        <v>8</v>
      </c>
      <c r="C119" s="250"/>
      <c r="D119" s="250"/>
      <c r="E119" s="250"/>
      <c r="F119" s="257"/>
      <c r="G119" s="246" t="s">
        <v>754</v>
      </c>
      <c r="H119" s="247"/>
      <c r="I119" s="247"/>
      <c r="J119" s="248"/>
      <c r="K119" s="75"/>
      <c r="L119" s="76"/>
      <c r="M119" s="220"/>
      <c r="N119" s="221"/>
      <c r="O119" s="179"/>
      <c r="P119" s="184"/>
      <c r="Q119" s="94"/>
      <c r="R119" s="94"/>
      <c r="S119" s="157">
        <f t="shared" si="2"/>
        <v>0</v>
      </c>
      <c r="T119" s="155" t="str">
        <f t="shared" si="3"/>
        <v>*</v>
      </c>
      <c r="U119" s="8"/>
      <c r="V119" s="8"/>
      <c r="W119" s="8"/>
      <c r="X119" s="8"/>
      <c r="Y119" s="9"/>
      <c r="Z119" s="8"/>
      <c r="AA119" s="8"/>
      <c r="AB119" s="8"/>
      <c r="AC119" s="8"/>
      <c r="AD119" s="8"/>
      <c r="AE119" s="8"/>
      <c r="AF119" s="4"/>
      <c r="AG119" s="4"/>
      <c r="AH119" s="134" t="s">
        <v>530</v>
      </c>
      <c r="AI119" s="134">
        <v>113</v>
      </c>
      <c r="AJ119" s="139" t="s">
        <v>816</v>
      </c>
      <c r="AK119" s="4"/>
      <c r="AL119" s="4"/>
      <c r="AM119" s="17" t="s">
        <v>28</v>
      </c>
      <c r="AN119" s="17" t="s">
        <v>664</v>
      </c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9" t="s">
        <v>792</v>
      </c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4" thickBot="1">
      <c r="A120" s="6"/>
      <c r="B120" s="249" t="s">
        <v>9</v>
      </c>
      <c r="C120" s="250"/>
      <c r="D120" s="250"/>
      <c r="E120" s="250"/>
      <c r="F120" s="257"/>
      <c r="G120" s="246" t="s">
        <v>29</v>
      </c>
      <c r="H120" s="247"/>
      <c r="I120" s="247"/>
      <c r="J120" s="248"/>
      <c r="K120" s="75"/>
      <c r="L120" s="76"/>
      <c r="M120" s="220"/>
      <c r="N120" s="221"/>
      <c r="O120" s="179"/>
      <c r="P120" s="184"/>
      <c r="Q120" s="94"/>
      <c r="R120" s="94"/>
      <c r="S120" s="157">
        <f t="shared" si="2"/>
        <v>0</v>
      </c>
      <c r="T120" s="155" t="str">
        <f t="shared" si="3"/>
        <v>*</v>
      </c>
      <c r="U120" s="8"/>
      <c r="V120" s="8"/>
      <c r="W120" s="8"/>
      <c r="X120" s="8"/>
      <c r="Y120" s="9"/>
      <c r="Z120" s="8"/>
      <c r="AA120" s="8"/>
      <c r="AB120" s="8"/>
      <c r="AC120" s="8"/>
      <c r="AD120" s="8"/>
      <c r="AE120" s="8"/>
      <c r="AF120" s="4"/>
      <c r="AG120" s="4"/>
      <c r="AH120" s="134" t="s">
        <v>1248</v>
      </c>
      <c r="AI120" s="134">
        <v>114</v>
      </c>
      <c r="AJ120" s="139" t="s">
        <v>816</v>
      </c>
      <c r="AK120" s="4"/>
      <c r="AL120" s="4"/>
      <c r="AM120" s="17" t="s">
        <v>661</v>
      </c>
      <c r="AN120" s="17" t="s">
        <v>665</v>
      </c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9" t="s">
        <v>793</v>
      </c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4" thickBot="1">
      <c r="A121" s="6"/>
      <c r="B121" s="249" t="s">
        <v>10</v>
      </c>
      <c r="C121" s="250"/>
      <c r="D121" s="250"/>
      <c r="E121" s="250"/>
      <c r="F121" s="257"/>
      <c r="G121" s="246" t="s">
        <v>30</v>
      </c>
      <c r="H121" s="247"/>
      <c r="I121" s="247"/>
      <c r="J121" s="248"/>
      <c r="K121" s="75"/>
      <c r="L121" s="76"/>
      <c r="M121" s="220"/>
      <c r="N121" s="221"/>
      <c r="O121" s="179"/>
      <c r="P121" s="184"/>
      <c r="Q121" s="94"/>
      <c r="R121" s="94"/>
      <c r="S121" s="157">
        <f t="shared" si="2"/>
        <v>0</v>
      </c>
      <c r="T121" s="155" t="str">
        <f t="shared" si="3"/>
        <v>*</v>
      </c>
      <c r="U121" s="8"/>
      <c r="V121" s="8"/>
      <c r="W121" s="8"/>
      <c r="X121" s="8"/>
      <c r="Y121" s="9"/>
      <c r="Z121" s="8"/>
      <c r="AA121" s="8"/>
      <c r="AB121" s="8"/>
      <c r="AC121" s="8"/>
      <c r="AD121" s="8"/>
      <c r="AE121" s="8"/>
      <c r="AF121" s="4"/>
      <c r="AG121" s="4"/>
      <c r="AH121" s="134" t="s">
        <v>518</v>
      </c>
      <c r="AI121" s="134">
        <v>115</v>
      </c>
      <c r="AJ121" s="139" t="s">
        <v>816</v>
      </c>
      <c r="AK121" s="4"/>
      <c r="AL121" s="4"/>
      <c r="AM121" s="17" t="s">
        <v>1128</v>
      </c>
      <c r="AN121" s="17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9" t="s">
        <v>978</v>
      </c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4" thickBot="1">
      <c r="A122" s="6"/>
      <c r="B122" s="249" t="s">
        <v>1322</v>
      </c>
      <c r="C122" s="250"/>
      <c r="D122" s="250"/>
      <c r="E122" s="250"/>
      <c r="F122" s="257"/>
      <c r="G122" s="246" t="s">
        <v>757</v>
      </c>
      <c r="H122" s="247"/>
      <c r="I122" s="247"/>
      <c r="J122" s="248"/>
      <c r="K122" s="75"/>
      <c r="L122" s="76"/>
      <c r="M122" s="220"/>
      <c r="N122" s="221"/>
      <c r="O122" s="179"/>
      <c r="P122" s="185"/>
      <c r="Q122" s="94"/>
      <c r="R122" s="94"/>
      <c r="S122" s="157">
        <f t="shared" si="2"/>
        <v>0</v>
      </c>
      <c r="T122" s="155" t="str">
        <f t="shared" si="3"/>
        <v>*</v>
      </c>
      <c r="U122" s="8"/>
      <c r="V122" s="8"/>
      <c r="W122" s="8"/>
      <c r="X122" s="8"/>
      <c r="Y122" s="9"/>
      <c r="Z122" s="8"/>
      <c r="AA122" s="8"/>
      <c r="AB122" s="8"/>
      <c r="AC122" s="8"/>
      <c r="AD122" s="8"/>
      <c r="AE122" s="8"/>
      <c r="AF122" s="4"/>
      <c r="AG122" s="4"/>
      <c r="AH122" s="134" t="s">
        <v>519</v>
      </c>
      <c r="AI122" s="134">
        <v>116</v>
      </c>
      <c r="AJ122" s="139" t="s">
        <v>815</v>
      </c>
      <c r="AK122" s="4"/>
      <c r="AL122" s="4"/>
      <c r="AM122" s="17" t="s">
        <v>1129</v>
      </c>
      <c r="AN122" s="17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9" t="s">
        <v>794</v>
      </c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5" thickTop="1" thickBot="1">
      <c r="A123" s="6"/>
      <c r="B123" s="249" t="s">
        <v>1325</v>
      </c>
      <c r="C123" s="250"/>
      <c r="D123" s="250"/>
      <c r="E123" s="250"/>
      <c r="F123" s="257"/>
      <c r="G123" s="246" t="s">
        <v>758</v>
      </c>
      <c r="H123" s="247"/>
      <c r="I123" s="247"/>
      <c r="J123" s="248"/>
      <c r="K123" s="75"/>
      <c r="L123" s="76"/>
      <c r="M123" s="220"/>
      <c r="N123" s="221"/>
      <c r="O123" s="179"/>
      <c r="P123" s="186"/>
      <c r="Q123" s="94"/>
      <c r="R123" s="94"/>
      <c r="S123" s="157">
        <f t="shared" si="2"/>
        <v>0</v>
      </c>
      <c r="T123" s="155" t="str">
        <f t="shared" si="3"/>
        <v>*</v>
      </c>
      <c r="U123" s="8"/>
      <c r="V123" s="8"/>
      <c r="W123" s="8"/>
      <c r="X123" s="8"/>
      <c r="Y123" s="9"/>
      <c r="Z123" s="8"/>
      <c r="AA123" s="8"/>
      <c r="AB123" s="8"/>
      <c r="AC123" s="8"/>
      <c r="AD123" s="8"/>
      <c r="AE123" s="8"/>
      <c r="AF123" s="4"/>
      <c r="AG123" s="4"/>
      <c r="AH123" s="134" t="s">
        <v>520</v>
      </c>
      <c r="AI123" s="134">
        <v>117</v>
      </c>
      <c r="AJ123" s="139" t="s">
        <v>815</v>
      </c>
      <c r="AK123" s="4"/>
      <c r="AL123" s="4"/>
      <c r="AM123" s="17" t="s">
        <v>1130</v>
      </c>
      <c r="AN123" s="17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9" t="s">
        <v>979</v>
      </c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27.75" customHeight="1" thickBot="1">
      <c r="A124" s="6"/>
      <c r="B124" s="249" t="s">
        <v>1332</v>
      </c>
      <c r="C124" s="250"/>
      <c r="D124" s="250"/>
      <c r="E124" s="250"/>
      <c r="F124" s="257"/>
      <c r="G124" s="246" t="s">
        <v>771</v>
      </c>
      <c r="H124" s="247"/>
      <c r="I124" s="247"/>
      <c r="J124" s="248"/>
      <c r="K124" s="75"/>
      <c r="L124" s="76"/>
      <c r="M124" s="220"/>
      <c r="N124" s="221"/>
      <c r="O124" s="143"/>
      <c r="P124" s="187" t="s">
        <v>1350</v>
      </c>
      <c r="Q124" s="94"/>
      <c r="R124" s="94"/>
      <c r="S124" s="157">
        <f t="shared" si="2"/>
        <v>0</v>
      </c>
      <c r="T124" s="155" t="str">
        <f t="shared" si="3"/>
        <v>*</v>
      </c>
      <c r="U124" s="8"/>
      <c r="V124" s="8"/>
      <c r="W124" s="8"/>
      <c r="X124" s="8"/>
      <c r="Y124" s="9"/>
      <c r="Z124" s="8"/>
      <c r="AA124" s="8"/>
      <c r="AB124" s="8"/>
      <c r="AC124" s="8"/>
      <c r="AD124" s="8"/>
      <c r="AE124" s="8"/>
      <c r="AF124" s="4"/>
      <c r="AG124" s="4"/>
      <c r="AH124" s="134" t="s">
        <v>521</v>
      </c>
      <c r="AI124" s="134">
        <v>118</v>
      </c>
      <c r="AJ124" s="139" t="s">
        <v>815</v>
      </c>
      <c r="AK124" s="4"/>
      <c r="AL124" s="4"/>
      <c r="AM124" s="17" t="s">
        <v>1131</v>
      </c>
      <c r="AN124" s="17" t="s">
        <v>666</v>
      </c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9" t="s">
        <v>795</v>
      </c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33" customHeight="1" thickBot="1">
      <c r="A125" s="6"/>
      <c r="B125" s="249" t="s">
        <v>1330</v>
      </c>
      <c r="C125" s="250"/>
      <c r="D125" s="250"/>
      <c r="E125" s="250"/>
      <c r="F125" s="257"/>
      <c r="G125" s="246" t="s">
        <v>772</v>
      </c>
      <c r="H125" s="247"/>
      <c r="I125" s="247"/>
      <c r="J125" s="248"/>
      <c r="K125" s="75"/>
      <c r="L125" s="76"/>
      <c r="M125" s="220"/>
      <c r="N125" s="221"/>
      <c r="O125" s="143"/>
      <c r="P125" s="181" t="s">
        <v>1350</v>
      </c>
      <c r="Q125" s="94"/>
      <c r="R125" s="94"/>
      <c r="S125" s="157">
        <f t="shared" si="2"/>
        <v>0</v>
      </c>
      <c r="T125" s="155" t="str">
        <f t="shared" si="3"/>
        <v>*</v>
      </c>
      <c r="U125" s="8"/>
      <c r="V125" s="8"/>
      <c r="W125" s="8"/>
      <c r="X125" s="8"/>
      <c r="Y125" s="9"/>
      <c r="Z125" s="8"/>
      <c r="AA125" s="8"/>
      <c r="AB125" s="8"/>
      <c r="AC125" s="8"/>
      <c r="AD125" s="8"/>
      <c r="AE125" s="8"/>
      <c r="AF125" s="4"/>
      <c r="AG125" s="4"/>
      <c r="AH125" s="134" t="s">
        <v>522</v>
      </c>
      <c r="AI125" s="134">
        <v>119</v>
      </c>
      <c r="AJ125" s="139" t="s">
        <v>815</v>
      </c>
      <c r="AK125" s="4"/>
      <c r="AL125" s="4"/>
      <c r="AM125" s="17" t="s">
        <v>1132</v>
      </c>
      <c r="AN125" s="17" t="s">
        <v>667</v>
      </c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9" t="s">
        <v>597</v>
      </c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24" customHeight="1" thickBot="1">
      <c r="A126" s="6"/>
      <c r="B126" s="249" t="s">
        <v>1329</v>
      </c>
      <c r="C126" s="250"/>
      <c r="D126" s="250"/>
      <c r="E126" s="250"/>
      <c r="F126" s="257"/>
      <c r="G126" s="246" t="s">
        <v>773</v>
      </c>
      <c r="H126" s="247"/>
      <c r="I126" s="247"/>
      <c r="J126" s="248"/>
      <c r="K126" s="75"/>
      <c r="L126" s="76"/>
      <c r="M126" s="220"/>
      <c r="N126" s="221"/>
      <c r="O126" s="143"/>
      <c r="P126" s="181" t="s">
        <v>1350</v>
      </c>
      <c r="Q126" s="94"/>
      <c r="R126" s="94"/>
      <c r="S126" s="157">
        <f t="shared" si="2"/>
        <v>0</v>
      </c>
      <c r="T126" s="155" t="str">
        <f t="shared" si="3"/>
        <v>*</v>
      </c>
      <c r="U126" s="8"/>
      <c r="V126" s="8"/>
      <c r="W126" s="8"/>
      <c r="X126" s="8"/>
      <c r="Y126" s="9"/>
      <c r="Z126" s="8"/>
      <c r="AA126" s="8"/>
      <c r="AB126" s="8"/>
      <c r="AC126" s="8"/>
      <c r="AD126" s="8"/>
      <c r="AE126" s="8"/>
      <c r="AF126" s="8"/>
      <c r="AG126" s="4"/>
      <c r="AH126" s="134" t="s">
        <v>523</v>
      </c>
      <c r="AI126" s="134">
        <v>120</v>
      </c>
      <c r="AJ126" s="139" t="s">
        <v>815</v>
      </c>
      <c r="AK126" s="4"/>
      <c r="AL126" s="4"/>
      <c r="AM126" s="17" t="s">
        <v>1133</v>
      </c>
      <c r="AN126" s="17" t="s">
        <v>668</v>
      </c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9">
        <v>21</v>
      </c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:67" ht="25.5" customHeight="1" thickBot="1">
      <c r="A127" s="6"/>
      <c r="B127" s="249" t="s">
        <v>149</v>
      </c>
      <c r="C127" s="250"/>
      <c r="D127" s="250"/>
      <c r="E127" s="250"/>
      <c r="F127" s="257"/>
      <c r="G127" s="246" t="s">
        <v>807</v>
      </c>
      <c r="H127" s="247"/>
      <c r="I127" s="247"/>
      <c r="J127" s="248"/>
      <c r="K127" s="75"/>
      <c r="L127" s="76"/>
      <c r="M127" s="220"/>
      <c r="N127" s="221"/>
      <c r="O127" s="143"/>
      <c r="P127" s="181" t="s">
        <v>1350</v>
      </c>
      <c r="Q127" s="94"/>
      <c r="R127" s="94"/>
      <c r="S127" s="157">
        <f t="shared" si="2"/>
        <v>0</v>
      </c>
      <c r="T127" s="155" t="str">
        <f t="shared" si="3"/>
        <v>*</v>
      </c>
      <c r="U127" s="8"/>
      <c r="V127" s="8"/>
      <c r="W127" s="8"/>
      <c r="X127" s="8"/>
      <c r="Y127" s="9"/>
      <c r="Z127" s="8"/>
      <c r="AA127" s="8"/>
      <c r="AB127" s="8"/>
      <c r="AC127" s="8"/>
      <c r="AD127" s="8"/>
      <c r="AE127" s="8"/>
      <c r="AF127" s="8"/>
      <c r="AG127" s="4"/>
      <c r="AH127" s="134" t="s">
        <v>1249</v>
      </c>
      <c r="AI127" s="134">
        <v>121</v>
      </c>
      <c r="AJ127" s="139" t="s">
        <v>816</v>
      </c>
      <c r="AK127" s="4"/>
      <c r="AL127" s="4"/>
      <c r="AM127" s="17" t="s">
        <v>1134</v>
      </c>
      <c r="AN127" s="17" t="s">
        <v>669</v>
      </c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9" t="s">
        <v>796</v>
      </c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:67" ht="25.5" customHeight="1" thickBot="1">
      <c r="A128" s="6"/>
      <c r="B128" s="249" t="s">
        <v>150</v>
      </c>
      <c r="C128" s="250"/>
      <c r="D128" s="250"/>
      <c r="E128" s="250"/>
      <c r="F128" s="257"/>
      <c r="G128" s="246" t="s">
        <v>774</v>
      </c>
      <c r="H128" s="247"/>
      <c r="I128" s="247"/>
      <c r="J128" s="248"/>
      <c r="K128" s="75"/>
      <c r="L128" s="76"/>
      <c r="M128" s="220"/>
      <c r="N128" s="221"/>
      <c r="O128" s="143"/>
      <c r="P128" s="181" t="s">
        <v>1350</v>
      </c>
      <c r="Q128" s="94"/>
      <c r="R128" s="94"/>
      <c r="S128" s="157">
        <f t="shared" si="2"/>
        <v>0</v>
      </c>
      <c r="T128" s="155" t="str">
        <f t="shared" si="3"/>
        <v>*</v>
      </c>
      <c r="U128" s="8"/>
      <c r="V128" s="8"/>
      <c r="W128" s="8"/>
      <c r="X128" s="8"/>
      <c r="Y128" s="9"/>
      <c r="Z128" s="8"/>
      <c r="AA128" s="8"/>
      <c r="AB128" s="8"/>
      <c r="AC128" s="8"/>
      <c r="AD128" s="8"/>
      <c r="AE128" s="8"/>
      <c r="AF128" s="8"/>
      <c r="AG128" s="4"/>
      <c r="AH128" s="134" t="s">
        <v>924</v>
      </c>
      <c r="AI128" s="134">
        <v>122</v>
      </c>
      <c r="AJ128" s="139" t="s">
        <v>816</v>
      </c>
      <c r="AK128" s="4"/>
      <c r="AL128" s="4"/>
      <c r="AM128" s="17" t="s">
        <v>1135</v>
      </c>
      <c r="AN128" s="17" t="s">
        <v>670</v>
      </c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9">
        <v>23</v>
      </c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:67" ht="30.75" customHeight="1" thickBot="1">
      <c r="A129" s="6"/>
      <c r="B129" s="249" t="s">
        <v>155</v>
      </c>
      <c r="C129" s="250"/>
      <c r="D129" s="250"/>
      <c r="E129" s="250"/>
      <c r="F129" s="257"/>
      <c r="G129" s="246" t="s">
        <v>153</v>
      </c>
      <c r="H129" s="247"/>
      <c r="I129" s="247"/>
      <c r="J129" s="248"/>
      <c r="K129" s="75"/>
      <c r="L129" s="76"/>
      <c r="M129" s="220"/>
      <c r="N129" s="221"/>
      <c r="O129" s="143"/>
      <c r="P129" s="181" t="s">
        <v>1350</v>
      </c>
      <c r="Q129" s="94"/>
      <c r="R129" s="94"/>
      <c r="S129" s="157">
        <f t="shared" si="2"/>
        <v>0</v>
      </c>
      <c r="T129" s="155" t="str">
        <f t="shared" si="3"/>
        <v>*</v>
      </c>
      <c r="U129" s="8"/>
      <c r="V129" s="8"/>
      <c r="W129" s="8"/>
      <c r="X129" s="8"/>
      <c r="Y129" s="9"/>
      <c r="Z129" s="8"/>
      <c r="AA129" s="8"/>
      <c r="AB129" s="8"/>
      <c r="AC129" s="8"/>
      <c r="AD129" s="8"/>
      <c r="AE129" s="8"/>
      <c r="AF129" s="8"/>
      <c r="AG129" s="4"/>
      <c r="AH129" s="134" t="s">
        <v>923</v>
      </c>
      <c r="AI129" s="134">
        <v>123</v>
      </c>
      <c r="AJ129" s="139" t="s">
        <v>816</v>
      </c>
      <c r="AK129" s="4"/>
      <c r="AL129" s="4"/>
      <c r="AM129" s="17" t="s">
        <v>1136</v>
      </c>
      <c r="AN129" s="17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9" t="s">
        <v>980</v>
      </c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:67" ht="79.5" customHeight="1" thickBot="1">
      <c r="A130" s="6"/>
      <c r="B130" s="249" t="s">
        <v>1433</v>
      </c>
      <c r="C130" s="250"/>
      <c r="D130" s="250"/>
      <c r="E130" s="250"/>
      <c r="F130" s="257"/>
      <c r="G130" s="246" t="s">
        <v>31</v>
      </c>
      <c r="H130" s="247"/>
      <c r="I130" s="247"/>
      <c r="J130" s="248"/>
      <c r="K130" s="75"/>
      <c r="L130" s="76"/>
      <c r="M130" s="220"/>
      <c r="N130" s="221"/>
      <c r="O130" s="143"/>
      <c r="P130" s="181" t="s">
        <v>1350</v>
      </c>
      <c r="Q130" s="94"/>
      <c r="R130" s="94"/>
      <c r="S130" s="157">
        <f t="shared" si="2"/>
        <v>0</v>
      </c>
      <c r="T130" s="155" t="str">
        <f t="shared" si="3"/>
        <v>*</v>
      </c>
      <c r="U130" s="8"/>
      <c r="V130" s="8"/>
      <c r="W130" s="8"/>
      <c r="X130" s="8"/>
      <c r="Y130" s="9"/>
      <c r="Z130" s="8"/>
      <c r="AA130" s="8"/>
      <c r="AB130" s="8"/>
      <c r="AC130" s="8"/>
      <c r="AD130" s="8"/>
      <c r="AE130" s="8"/>
      <c r="AF130" s="8"/>
      <c r="AG130" s="4"/>
      <c r="AH130" s="134" t="s">
        <v>922</v>
      </c>
      <c r="AI130" s="134">
        <v>124</v>
      </c>
      <c r="AJ130" s="139" t="s">
        <v>816</v>
      </c>
      <c r="AK130" s="4"/>
      <c r="AL130" s="4"/>
      <c r="AM130" s="17" t="s">
        <v>1137</v>
      </c>
      <c r="AN130" s="17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9" t="s">
        <v>797</v>
      </c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:67" ht="45.75" customHeight="1" thickBot="1">
      <c r="A131" s="6"/>
      <c r="B131" s="249" t="s">
        <v>38</v>
      </c>
      <c r="C131" s="250"/>
      <c r="D131" s="250"/>
      <c r="E131" s="250"/>
      <c r="F131" s="257"/>
      <c r="G131" s="246" t="s">
        <v>775</v>
      </c>
      <c r="H131" s="247"/>
      <c r="I131" s="247"/>
      <c r="J131" s="248"/>
      <c r="K131" s="75"/>
      <c r="L131" s="76"/>
      <c r="M131" s="220"/>
      <c r="N131" s="221"/>
      <c r="O131" s="143"/>
      <c r="P131" s="181" t="s">
        <v>1350</v>
      </c>
      <c r="Q131" s="94"/>
      <c r="R131" s="94"/>
      <c r="S131" s="157">
        <f t="shared" si="2"/>
        <v>0</v>
      </c>
      <c r="T131" s="155" t="str">
        <f t="shared" si="3"/>
        <v>*</v>
      </c>
      <c r="U131" s="8"/>
      <c r="V131" s="8"/>
      <c r="W131" s="8"/>
      <c r="X131" s="8"/>
      <c r="Y131" s="9"/>
      <c r="Z131" s="8"/>
      <c r="AA131" s="8"/>
      <c r="AB131" s="8"/>
      <c r="AC131" s="8"/>
      <c r="AD131" s="8"/>
      <c r="AE131" s="8"/>
      <c r="AF131" s="8"/>
      <c r="AG131" s="4"/>
      <c r="AH131" s="134" t="s">
        <v>1250</v>
      </c>
      <c r="AI131" s="134">
        <v>125</v>
      </c>
      <c r="AJ131" s="139" t="s">
        <v>816</v>
      </c>
      <c r="AK131" s="4"/>
      <c r="AL131" s="4"/>
      <c r="AM131" s="17" t="s">
        <v>1138</v>
      </c>
      <c r="AN131" s="17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9" t="s">
        <v>798</v>
      </c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:67" ht="84" customHeight="1" thickBot="1">
      <c r="A132" s="6"/>
      <c r="B132" s="249" t="s">
        <v>1434</v>
      </c>
      <c r="C132" s="250"/>
      <c r="D132" s="250"/>
      <c r="E132" s="250"/>
      <c r="F132" s="257"/>
      <c r="G132" s="246" t="s">
        <v>1382</v>
      </c>
      <c r="H132" s="247"/>
      <c r="I132" s="247"/>
      <c r="J132" s="248"/>
      <c r="K132" s="75"/>
      <c r="L132" s="76"/>
      <c r="M132" s="220"/>
      <c r="N132" s="221"/>
      <c r="O132" s="143"/>
      <c r="P132" s="181" t="s">
        <v>1350</v>
      </c>
      <c r="Q132" s="94"/>
      <c r="R132" s="94"/>
      <c r="S132" s="157">
        <f t="shared" si="2"/>
        <v>0</v>
      </c>
      <c r="T132" s="155" t="str">
        <f t="shared" si="3"/>
        <v>*</v>
      </c>
      <c r="U132" s="8"/>
      <c r="V132" s="8"/>
      <c r="W132" s="8"/>
      <c r="X132" s="8"/>
      <c r="Y132" s="9"/>
      <c r="Z132" s="8"/>
      <c r="AA132" s="8"/>
      <c r="AB132" s="8"/>
      <c r="AC132" s="8"/>
      <c r="AD132" s="8"/>
      <c r="AE132" s="8"/>
      <c r="AF132" s="8"/>
      <c r="AG132" s="4"/>
      <c r="AH132" s="134" t="s">
        <v>472</v>
      </c>
      <c r="AI132" s="134">
        <v>126</v>
      </c>
      <c r="AJ132" s="139" t="s">
        <v>816</v>
      </c>
      <c r="AK132" s="4"/>
      <c r="AL132" s="4"/>
      <c r="AM132" s="17" t="s">
        <v>1139</v>
      </c>
      <c r="AN132" s="17" t="s">
        <v>671</v>
      </c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9" t="s">
        <v>799</v>
      </c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:67" ht="84" customHeight="1" thickBot="1">
      <c r="A133" s="6"/>
      <c r="B133" s="249" t="s">
        <v>1435</v>
      </c>
      <c r="C133" s="250"/>
      <c r="D133" s="250"/>
      <c r="E133" s="250"/>
      <c r="F133" s="257"/>
      <c r="G133" s="246" t="s">
        <v>1383</v>
      </c>
      <c r="H133" s="247"/>
      <c r="I133" s="247"/>
      <c r="J133" s="248"/>
      <c r="K133" s="75"/>
      <c r="L133" s="76"/>
      <c r="M133" s="220"/>
      <c r="N133" s="221"/>
      <c r="O133" s="143"/>
      <c r="P133" s="181" t="s">
        <v>1350</v>
      </c>
      <c r="Q133" s="94"/>
      <c r="R133" s="94"/>
      <c r="S133" s="157">
        <f t="shared" si="2"/>
        <v>0</v>
      </c>
      <c r="T133" s="155" t="str">
        <f t="shared" si="3"/>
        <v>*</v>
      </c>
      <c r="U133" s="8"/>
      <c r="V133" s="8"/>
      <c r="W133" s="8"/>
      <c r="X133" s="8"/>
      <c r="Y133" s="9"/>
      <c r="Z133" s="8"/>
      <c r="AA133" s="8"/>
      <c r="AB133" s="8"/>
      <c r="AC133" s="8"/>
      <c r="AD133" s="8"/>
      <c r="AE133" s="8"/>
      <c r="AF133" s="8"/>
      <c r="AG133" s="4"/>
      <c r="AH133" s="134" t="s">
        <v>473</v>
      </c>
      <c r="AI133" s="134">
        <v>127</v>
      </c>
      <c r="AJ133" s="139" t="s">
        <v>816</v>
      </c>
      <c r="AK133" s="4"/>
      <c r="AL133" s="4"/>
      <c r="AM133" s="17" t="s">
        <v>1140</v>
      </c>
      <c r="AN133" s="17" t="s">
        <v>672</v>
      </c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9" t="s">
        <v>598</v>
      </c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1:67" ht="39.75" customHeight="1" thickBot="1">
      <c r="A134" s="6"/>
      <c r="B134" s="249" t="s">
        <v>1331</v>
      </c>
      <c r="C134" s="250"/>
      <c r="D134" s="250"/>
      <c r="E134" s="250"/>
      <c r="F134" s="257"/>
      <c r="G134" s="246" t="s">
        <v>776</v>
      </c>
      <c r="H134" s="247"/>
      <c r="I134" s="247"/>
      <c r="J134" s="248"/>
      <c r="K134" s="75"/>
      <c r="L134" s="76"/>
      <c r="M134" s="220"/>
      <c r="N134" s="221"/>
      <c r="O134" s="143"/>
      <c r="P134" s="181" t="s">
        <v>1350</v>
      </c>
      <c r="Q134" s="94"/>
      <c r="R134" s="94"/>
      <c r="S134" s="157">
        <f t="shared" si="2"/>
        <v>0</v>
      </c>
      <c r="T134" s="155" t="str">
        <f t="shared" si="3"/>
        <v>*</v>
      </c>
      <c r="U134" s="8"/>
      <c r="V134" s="8"/>
      <c r="W134" s="8"/>
      <c r="X134" s="8"/>
      <c r="Y134" s="9"/>
      <c r="Z134" s="8"/>
      <c r="AA134" s="8"/>
      <c r="AB134" s="8"/>
      <c r="AC134" s="8"/>
      <c r="AD134" s="8"/>
      <c r="AE134" s="8"/>
      <c r="AF134" s="8"/>
      <c r="AG134" s="4"/>
      <c r="AH134" s="134" t="s">
        <v>474</v>
      </c>
      <c r="AI134" s="134">
        <v>128</v>
      </c>
      <c r="AJ134" s="139" t="s">
        <v>816</v>
      </c>
      <c r="AK134" s="4"/>
      <c r="AL134" s="4"/>
      <c r="AM134" s="17" t="s">
        <v>1141</v>
      </c>
      <c r="AN134" s="17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9" t="s">
        <v>599</v>
      </c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1:67" ht="60" customHeight="1" thickBot="1">
      <c r="A135" s="6"/>
      <c r="B135" s="249" t="s">
        <v>39</v>
      </c>
      <c r="C135" s="250"/>
      <c r="D135" s="250"/>
      <c r="E135" s="250"/>
      <c r="F135" s="257"/>
      <c r="G135" s="246" t="s">
        <v>37</v>
      </c>
      <c r="H135" s="247"/>
      <c r="I135" s="247"/>
      <c r="J135" s="248"/>
      <c r="K135" s="75"/>
      <c r="L135" s="76"/>
      <c r="M135" s="220"/>
      <c r="N135" s="221"/>
      <c r="O135" s="143"/>
      <c r="P135" s="181" t="s">
        <v>1350</v>
      </c>
      <c r="Q135" s="94"/>
      <c r="R135" s="94"/>
      <c r="S135" s="157">
        <f t="shared" si="2"/>
        <v>0</v>
      </c>
      <c r="T135" s="155" t="str">
        <f t="shared" si="3"/>
        <v>*</v>
      </c>
      <c r="U135" s="8"/>
      <c r="V135" s="8"/>
      <c r="W135" s="8"/>
      <c r="X135" s="8"/>
      <c r="Y135" s="9"/>
      <c r="Z135" s="8"/>
      <c r="AA135" s="8"/>
      <c r="AB135" s="8"/>
      <c r="AC135" s="8"/>
      <c r="AD135" s="8"/>
      <c r="AE135" s="8"/>
      <c r="AF135" s="8"/>
      <c r="AG135" s="4"/>
      <c r="AH135" s="134" t="s">
        <v>524</v>
      </c>
      <c r="AI135" s="134">
        <v>129</v>
      </c>
      <c r="AJ135" s="139" t="s">
        <v>816</v>
      </c>
      <c r="AK135" s="4"/>
      <c r="AL135" s="4"/>
      <c r="AM135" s="17" t="s">
        <v>1142</v>
      </c>
      <c r="AN135" s="17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9">
        <v>24</v>
      </c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:67" ht="62.25" customHeight="1" thickBot="1">
      <c r="A136" s="6"/>
      <c r="B136" s="249" t="s">
        <v>40</v>
      </c>
      <c r="C136" s="250"/>
      <c r="D136" s="250"/>
      <c r="E136" s="250"/>
      <c r="F136" s="257"/>
      <c r="G136" s="246" t="s">
        <v>37</v>
      </c>
      <c r="H136" s="247"/>
      <c r="I136" s="247"/>
      <c r="J136" s="248"/>
      <c r="K136" s="75"/>
      <c r="L136" s="76"/>
      <c r="M136" s="220"/>
      <c r="N136" s="221"/>
      <c r="O136" s="143"/>
      <c r="P136" s="181" t="s">
        <v>1350</v>
      </c>
      <c r="Q136" s="94"/>
      <c r="R136" s="94"/>
      <c r="S136" s="157">
        <f t="shared" si="2"/>
        <v>0</v>
      </c>
      <c r="T136" s="155" t="str">
        <f t="shared" si="3"/>
        <v>*</v>
      </c>
      <c r="U136" s="8"/>
      <c r="V136" s="8"/>
      <c r="W136" s="8"/>
      <c r="X136" s="8"/>
      <c r="Y136" s="9"/>
      <c r="Z136" s="8"/>
      <c r="AA136" s="8"/>
      <c r="AB136" s="8"/>
      <c r="AC136" s="8"/>
      <c r="AD136" s="8"/>
      <c r="AE136" s="8"/>
      <c r="AF136" s="8"/>
      <c r="AG136" s="4"/>
      <c r="AH136" s="134" t="s">
        <v>525</v>
      </c>
      <c r="AI136" s="134">
        <v>130</v>
      </c>
      <c r="AJ136" s="139" t="s">
        <v>816</v>
      </c>
      <c r="AK136" s="4"/>
      <c r="AL136" s="4"/>
      <c r="AM136" s="17" t="s">
        <v>1143</v>
      </c>
      <c r="AN136" s="17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9" t="s">
        <v>1073</v>
      </c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:67" ht="24.75" customHeight="1" thickBot="1">
      <c r="A137" s="6"/>
      <c r="B137" s="249"/>
      <c r="C137" s="250"/>
      <c r="D137" s="250"/>
      <c r="E137" s="250"/>
      <c r="F137" s="257"/>
      <c r="G137" s="246" t="s">
        <v>1381</v>
      </c>
      <c r="H137" s="247"/>
      <c r="I137" s="247"/>
      <c r="J137" s="248"/>
      <c r="K137" s="75"/>
      <c r="L137" s="76"/>
      <c r="M137" s="220"/>
      <c r="N137" s="221"/>
      <c r="O137" s="143"/>
      <c r="P137" s="181" t="s">
        <v>1350</v>
      </c>
      <c r="Q137" s="94"/>
      <c r="R137" s="94"/>
      <c r="S137" s="157">
        <f t="shared" si="2"/>
        <v>0</v>
      </c>
      <c r="T137" s="155" t="str">
        <f t="shared" si="3"/>
        <v>*</v>
      </c>
      <c r="U137" s="8"/>
      <c r="V137" s="8"/>
      <c r="W137" s="8"/>
      <c r="X137" s="8"/>
      <c r="Y137" s="9"/>
      <c r="Z137" s="8"/>
      <c r="AA137" s="8"/>
      <c r="AB137" s="8"/>
      <c r="AC137" s="8"/>
      <c r="AD137" s="8"/>
      <c r="AE137" s="8"/>
      <c r="AF137" s="8"/>
      <c r="AG137" s="4"/>
      <c r="AH137" s="134" t="s">
        <v>469</v>
      </c>
      <c r="AI137" s="134">
        <v>131</v>
      </c>
      <c r="AJ137" s="139" t="s">
        <v>816</v>
      </c>
      <c r="AK137" s="4"/>
      <c r="AL137" s="4"/>
      <c r="AM137" s="17" t="s">
        <v>1144</v>
      </c>
      <c r="AN137" s="17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50">
        <v>25</v>
      </c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 ht="50.25" customHeight="1" thickBot="1">
      <c r="A138" s="6"/>
      <c r="B138" s="249"/>
      <c r="C138" s="250"/>
      <c r="D138" s="250"/>
      <c r="E138" s="250"/>
      <c r="F138" s="257"/>
      <c r="G138" s="246" t="s">
        <v>777</v>
      </c>
      <c r="H138" s="247"/>
      <c r="I138" s="247"/>
      <c r="J138" s="248"/>
      <c r="K138" s="75"/>
      <c r="L138" s="76"/>
      <c r="M138" s="220"/>
      <c r="N138" s="221"/>
      <c r="O138" s="143"/>
      <c r="P138" s="181" t="s">
        <v>1350</v>
      </c>
      <c r="Q138" s="94"/>
      <c r="R138" s="94"/>
      <c r="S138" s="157">
        <f t="shared" si="2"/>
        <v>0</v>
      </c>
      <c r="T138" s="155" t="str">
        <f t="shared" si="3"/>
        <v>*</v>
      </c>
      <c r="U138" s="8"/>
      <c r="V138" s="8"/>
      <c r="W138" s="8"/>
      <c r="X138" s="8"/>
      <c r="Y138" s="9"/>
      <c r="Z138" s="8"/>
      <c r="AA138" s="8"/>
      <c r="AB138" s="8"/>
      <c r="AC138" s="8"/>
      <c r="AD138" s="8"/>
      <c r="AE138" s="8"/>
      <c r="AF138" s="8"/>
      <c r="AG138" s="4"/>
      <c r="AH138" s="134" t="s">
        <v>485</v>
      </c>
      <c r="AI138" s="134">
        <v>132</v>
      </c>
      <c r="AJ138" s="139" t="s">
        <v>816</v>
      </c>
      <c r="AK138" s="4"/>
      <c r="AL138" s="4"/>
      <c r="AM138" s="17" t="s">
        <v>1145</v>
      </c>
      <c r="AN138" s="17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:67" ht="51.75" customHeight="1" thickBot="1">
      <c r="A139" s="6"/>
      <c r="B139" s="249"/>
      <c r="C139" s="250"/>
      <c r="D139" s="250"/>
      <c r="E139" s="250"/>
      <c r="F139" s="257"/>
      <c r="G139" s="246" t="s">
        <v>778</v>
      </c>
      <c r="H139" s="247"/>
      <c r="I139" s="247"/>
      <c r="J139" s="248"/>
      <c r="K139" s="75"/>
      <c r="L139" s="76"/>
      <c r="M139" s="220"/>
      <c r="N139" s="221"/>
      <c r="O139" s="143"/>
      <c r="P139" s="181" t="s">
        <v>1350</v>
      </c>
      <c r="Q139" s="94"/>
      <c r="R139" s="94"/>
      <c r="S139" s="157">
        <f t="shared" si="2"/>
        <v>0</v>
      </c>
      <c r="T139" s="155" t="str">
        <f t="shared" si="3"/>
        <v>*</v>
      </c>
      <c r="U139" s="8"/>
      <c r="V139" s="8"/>
      <c r="W139" s="8"/>
      <c r="X139" s="8"/>
      <c r="Y139" s="9"/>
      <c r="Z139" s="8"/>
      <c r="AA139" s="8"/>
      <c r="AB139" s="8"/>
      <c r="AC139" s="8"/>
      <c r="AD139" s="8"/>
      <c r="AE139" s="8"/>
      <c r="AF139" s="8"/>
      <c r="AG139" s="4"/>
      <c r="AH139" s="134" t="s">
        <v>514</v>
      </c>
      <c r="AI139" s="134">
        <v>133</v>
      </c>
      <c r="AJ139" s="139" t="s">
        <v>816</v>
      </c>
      <c r="AK139" s="4"/>
      <c r="AL139" s="4"/>
      <c r="AM139" s="17" t="s">
        <v>856</v>
      </c>
      <c r="AN139" s="17" t="s">
        <v>680</v>
      </c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:67" ht="39" customHeight="1" thickBot="1">
      <c r="A140" s="6"/>
      <c r="B140" s="249"/>
      <c r="C140" s="250"/>
      <c r="D140" s="250"/>
      <c r="E140" s="250"/>
      <c r="F140" s="257"/>
      <c r="G140" s="246" t="s">
        <v>779</v>
      </c>
      <c r="H140" s="247"/>
      <c r="I140" s="247"/>
      <c r="J140" s="248"/>
      <c r="K140" s="75"/>
      <c r="L140" s="76"/>
      <c r="M140" s="220"/>
      <c r="N140" s="221"/>
      <c r="O140" s="143"/>
      <c r="P140" s="181" t="s">
        <v>1350</v>
      </c>
      <c r="Q140" s="94"/>
      <c r="R140" s="94"/>
      <c r="S140" s="157">
        <f t="shared" si="2"/>
        <v>0</v>
      </c>
      <c r="T140" s="155" t="str">
        <f t="shared" si="3"/>
        <v>*</v>
      </c>
      <c r="U140" s="8"/>
      <c r="V140" s="8"/>
      <c r="W140" s="8"/>
      <c r="X140" s="8"/>
      <c r="Y140" s="9"/>
      <c r="Z140" s="8"/>
      <c r="AA140" s="8"/>
      <c r="AB140" s="8"/>
      <c r="AC140" s="8"/>
      <c r="AD140" s="8"/>
      <c r="AE140" s="8"/>
      <c r="AF140" s="8"/>
      <c r="AG140" s="4"/>
      <c r="AH140" s="134" t="s">
        <v>513</v>
      </c>
      <c r="AI140" s="134">
        <v>134</v>
      </c>
      <c r="AJ140" s="139" t="s">
        <v>816</v>
      </c>
      <c r="AK140" s="4"/>
      <c r="AL140" s="4"/>
      <c r="AM140" s="17" t="s">
        <v>1146</v>
      </c>
      <c r="AN140" s="17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:67" ht="51.75" customHeight="1" thickBot="1">
      <c r="A141" s="6"/>
      <c r="B141" s="249"/>
      <c r="C141" s="250"/>
      <c r="D141" s="250"/>
      <c r="E141" s="250"/>
      <c r="F141" s="257"/>
      <c r="G141" s="246" t="s">
        <v>780</v>
      </c>
      <c r="H141" s="247"/>
      <c r="I141" s="247"/>
      <c r="J141" s="248"/>
      <c r="K141" s="75"/>
      <c r="L141" s="76"/>
      <c r="M141" s="220"/>
      <c r="N141" s="221"/>
      <c r="O141" s="143"/>
      <c r="P141" s="181" t="s">
        <v>1350</v>
      </c>
      <c r="Q141" s="94"/>
      <c r="R141" s="94"/>
      <c r="S141" s="157">
        <f t="shared" si="2"/>
        <v>0</v>
      </c>
      <c r="T141" s="155" t="str">
        <f t="shared" si="3"/>
        <v>*</v>
      </c>
      <c r="U141" s="8"/>
      <c r="V141" s="8"/>
      <c r="W141" s="8"/>
      <c r="X141" s="8"/>
      <c r="Y141" s="9"/>
      <c r="Z141" s="8"/>
      <c r="AA141" s="8"/>
      <c r="AB141" s="8"/>
      <c r="AC141" s="8"/>
      <c r="AD141" s="8"/>
      <c r="AE141" s="8"/>
      <c r="AF141" s="8"/>
      <c r="AG141" s="4"/>
      <c r="AH141" s="134" t="s">
        <v>1251</v>
      </c>
      <c r="AI141" s="134">
        <v>135</v>
      </c>
      <c r="AJ141" s="139" t="s">
        <v>816</v>
      </c>
      <c r="AK141" s="4"/>
      <c r="AL141" s="4"/>
      <c r="AM141" s="17" t="s">
        <v>1147</v>
      </c>
      <c r="AN141" s="17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:67" ht="30.75" customHeight="1" thickBot="1">
      <c r="A142" s="6"/>
      <c r="B142" s="249"/>
      <c r="C142" s="250"/>
      <c r="D142" s="250"/>
      <c r="E142" s="250"/>
      <c r="F142" s="257"/>
      <c r="G142" s="246" t="s">
        <v>785</v>
      </c>
      <c r="H142" s="247"/>
      <c r="I142" s="247"/>
      <c r="J142" s="248"/>
      <c r="K142" s="75"/>
      <c r="L142" s="76"/>
      <c r="M142" s="220"/>
      <c r="N142" s="221"/>
      <c r="O142" s="143"/>
      <c r="P142" s="181" t="s">
        <v>1350</v>
      </c>
      <c r="Q142" s="94"/>
      <c r="R142" s="94"/>
      <c r="S142" s="157">
        <f t="shared" si="2"/>
        <v>0</v>
      </c>
      <c r="T142" s="155" t="str">
        <f t="shared" si="3"/>
        <v>*</v>
      </c>
      <c r="U142" s="8"/>
      <c r="V142" s="8"/>
      <c r="W142" s="8"/>
      <c r="X142" s="8"/>
      <c r="Y142" s="9"/>
      <c r="Z142" s="8"/>
      <c r="AA142" s="8"/>
      <c r="AB142" s="8"/>
      <c r="AC142" s="8"/>
      <c r="AD142" s="8"/>
      <c r="AE142" s="8"/>
      <c r="AF142" s="8"/>
      <c r="AG142" s="4"/>
      <c r="AH142" s="134" t="s">
        <v>913</v>
      </c>
      <c r="AI142" s="134">
        <v>136</v>
      </c>
      <c r="AJ142" s="139" t="s">
        <v>816</v>
      </c>
      <c r="AK142" s="4"/>
      <c r="AL142" s="4"/>
      <c r="AM142" s="17" t="s">
        <v>1148</v>
      </c>
      <c r="AN142" s="17" t="s">
        <v>673</v>
      </c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:67" ht="46.5" customHeight="1" thickBot="1">
      <c r="A143" s="6"/>
      <c r="B143" s="249" t="s">
        <v>1436</v>
      </c>
      <c r="C143" s="250"/>
      <c r="D143" s="250"/>
      <c r="E143" s="250"/>
      <c r="F143" s="257"/>
      <c r="G143" s="246" t="s">
        <v>781</v>
      </c>
      <c r="H143" s="247"/>
      <c r="I143" s="247"/>
      <c r="J143" s="248"/>
      <c r="K143" s="75"/>
      <c r="L143" s="76"/>
      <c r="M143" s="220"/>
      <c r="N143" s="221"/>
      <c r="O143" s="143"/>
      <c r="P143" s="181" t="s">
        <v>1350</v>
      </c>
      <c r="Q143" s="94"/>
      <c r="R143" s="94"/>
      <c r="S143" s="157">
        <f t="shared" si="2"/>
        <v>0</v>
      </c>
      <c r="T143" s="155" t="str">
        <f t="shared" si="3"/>
        <v>*</v>
      </c>
      <c r="U143" s="8"/>
      <c r="V143" s="8"/>
      <c r="W143" s="8"/>
      <c r="X143" s="8"/>
      <c r="Y143" s="9"/>
      <c r="Z143" s="8"/>
      <c r="AA143" s="8"/>
      <c r="AB143" s="8"/>
      <c r="AC143" s="8"/>
      <c r="AD143" s="8"/>
      <c r="AE143" s="8"/>
      <c r="AF143" s="8"/>
      <c r="AG143" s="4"/>
      <c r="AH143" s="134" t="s">
        <v>515</v>
      </c>
      <c r="AI143" s="134">
        <v>137</v>
      </c>
      <c r="AJ143" s="139" t="s">
        <v>816</v>
      </c>
      <c r="AK143" s="4"/>
      <c r="AL143" s="4"/>
      <c r="AM143" s="17" t="s">
        <v>1149</v>
      </c>
      <c r="AN143" s="17" t="s">
        <v>674</v>
      </c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:67" ht="21" customHeight="1" thickBot="1">
      <c r="A144" s="6"/>
      <c r="B144" s="249"/>
      <c r="C144" s="250"/>
      <c r="D144" s="250"/>
      <c r="E144" s="250"/>
      <c r="F144" s="257"/>
      <c r="G144" s="246" t="s">
        <v>782</v>
      </c>
      <c r="H144" s="247"/>
      <c r="I144" s="247"/>
      <c r="J144" s="248"/>
      <c r="K144" s="75"/>
      <c r="L144" s="76"/>
      <c r="M144" s="220"/>
      <c r="N144" s="221"/>
      <c r="O144" s="143"/>
      <c r="P144" s="181" t="s">
        <v>1350</v>
      </c>
      <c r="Q144" s="94"/>
      <c r="R144" s="94"/>
      <c r="S144" s="157">
        <f t="shared" si="2"/>
        <v>0</v>
      </c>
      <c r="T144" s="155" t="str">
        <f t="shared" si="3"/>
        <v>*</v>
      </c>
      <c r="U144" s="8"/>
      <c r="V144" s="8"/>
      <c r="W144" s="8"/>
      <c r="X144" s="8"/>
      <c r="Y144" s="9"/>
      <c r="Z144" s="8"/>
      <c r="AA144" s="8"/>
      <c r="AB144" s="8"/>
      <c r="AC144" s="8"/>
      <c r="AD144" s="8"/>
      <c r="AE144" s="8"/>
      <c r="AF144" s="8"/>
      <c r="AG144" s="4"/>
      <c r="AH144" s="134" t="s">
        <v>516</v>
      </c>
      <c r="AI144" s="134">
        <v>138</v>
      </c>
      <c r="AJ144" s="139" t="s">
        <v>816</v>
      </c>
      <c r="AK144" s="4"/>
      <c r="AL144" s="4"/>
      <c r="AM144" s="17" t="s">
        <v>1150</v>
      </c>
      <c r="AN144" s="17" t="s">
        <v>676</v>
      </c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:67" ht="21" customHeight="1" thickBot="1">
      <c r="A145" s="6"/>
      <c r="B145" s="249"/>
      <c r="C145" s="250"/>
      <c r="D145" s="250"/>
      <c r="E145" s="250"/>
      <c r="F145" s="257"/>
      <c r="G145" s="246" t="s">
        <v>783</v>
      </c>
      <c r="H145" s="247"/>
      <c r="I145" s="247"/>
      <c r="J145" s="248"/>
      <c r="K145" s="75"/>
      <c r="L145" s="76"/>
      <c r="M145" s="220"/>
      <c r="N145" s="221"/>
      <c r="O145" s="143"/>
      <c r="P145" s="181" t="s">
        <v>1350</v>
      </c>
      <c r="Q145" s="94"/>
      <c r="R145" s="94"/>
      <c r="S145" s="157">
        <f t="shared" si="2"/>
        <v>0</v>
      </c>
      <c r="T145" s="155" t="str">
        <f t="shared" si="3"/>
        <v>*</v>
      </c>
      <c r="U145" s="8"/>
      <c r="V145" s="8"/>
      <c r="W145" s="8"/>
      <c r="X145" s="8"/>
      <c r="Y145" s="9"/>
      <c r="Z145" s="8"/>
      <c r="AA145" s="8"/>
      <c r="AB145" s="8"/>
      <c r="AC145" s="8"/>
      <c r="AD145" s="8"/>
      <c r="AE145" s="8"/>
      <c r="AF145" s="8"/>
      <c r="AG145" s="4"/>
      <c r="AH145" s="136" t="s">
        <v>517</v>
      </c>
      <c r="AI145" s="134">
        <v>139</v>
      </c>
      <c r="AJ145" s="139" t="s">
        <v>816</v>
      </c>
      <c r="AK145" s="4"/>
      <c r="AL145" s="4"/>
      <c r="AM145" s="17" t="s">
        <v>1151</v>
      </c>
      <c r="AN145" s="17" t="s">
        <v>678</v>
      </c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:67" ht="21" customHeight="1" thickBot="1">
      <c r="A146" s="6"/>
      <c r="B146" s="249"/>
      <c r="C146" s="250"/>
      <c r="D146" s="250"/>
      <c r="E146" s="250"/>
      <c r="F146" s="257"/>
      <c r="G146" s="246" t="s">
        <v>784</v>
      </c>
      <c r="H146" s="247"/>
      <c r="I146" s="247"/>
      <c r="J146" s="248"/>
      <c r="K146" s="75"/>
      <c r="L146" s="76"/>
      <c r="M146" s="220"/>
      <c r="N146" s="221"/>
      <c r="O146" s="143"/>
      <c r="P146" s="188" t="s">
        <v>1350</v>
      </c>
      <c r="Q146" s="94"/>
      <c r="R146" s="94"/>
      <c r="S146" s="157">
        <f t="shared" si="2"/>
        <v>0</v>
      </c>
      <c r="T146" s="155" t="str">
        <f t="shared" si="3"/>
        <v>*</v>
      </c>
      <c r="U146" s="8"/>
      <c r="V146" s="8"/>
      <c r="W146" s="8"/>
      <c r="X146" s="8"/>
      <c r="Y146" s="9"/>
      <c r="Z146" s="8"/>
      <c r="AA146" s="8"/>
      <c r="AB146" s="8"/>
      <c r="AC146" s="8"/>
      <c r="AD146" s="8"/>
      <c r="AE146" s="8"/>
      <c r="AF146" s="8"/>
      <c r="AG146" s="4"/>
      <c r="AH146" s="134" t="s">
        <v>921</v>
      </c>
      <c r="AI146" s="134">
        <v>140</v>
      </c>
      <c r="AJ146" s="139" t="s">
        <v>816</v>
      </c>
      <c r="AK146" s="4"/>
      <c r="AL146" s="4"/>
      <c r="AM146" s="17" t="s">
        <v>675</v>
      </c>
      <c r="AN146" s="17" t="s">
        <v>707</v>
      </c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:67" ht="15" customHeight="1" thickBot="1">
      <c r="A147" s="6"/>
      <c r="B147" s="249"/>
      <c r="C147" s="250"/>
      <c r="D147" s="250"/>
      <c r="E147" s="250"/>
      <c r="F147" s="257"/>
      <c r="G147" s="246" t="s">
        <v>6</v>
      </c>
      <c r="H147" s="247"/>
      <c r="I147" s="247"/>
      <c r="J147" s="248"/>
      <c r="K147" s="75"/>
      <c r="L147" s="52"/>
      <c r="M147" s="220"/>
      <c r="N147" s="221"/>
      <c r="O147" s="143"/>
      <c r="P147" s="189"/>
      <c r="Q147" s="94"/>
      <c r="R147" s="94"/>
      <c r="S147" s="157">
        <f>LEN(K147)*LEN(O147)</f>
        <v>0</v>
      </c>
      <c r="T147" s="155" t="str">
        <f t="shared" si="3"/>
        <v>*</v>
      </c>
      <c r="U147" s="8"/>
      <c r="V147" s="8"/>
      <c r="W147" s="8"/>
      <c r="X147" s="8"/>
      <c r="Y147" s="9"/>
      <c r="Z147" s="8"/>
      <c r="AA147" s="8"/>
      <c r="AB147" s="8"/>
      <c r="AC147" s="8"/>
      <c r="AD147" s="8"/>
      <c r="AE147" s="8"/>
      <c r="AF147" s="8"/>
      <c r="AG147" s="4"/>
      <c r="AH147" s="134" t="s">
        <v>914</v>
      </c>
      <c r="AI147" s="134">
        <v>141</v>
      </c>
      <c r="AJ147" s="139" t="s">
        <v>816</v>
      </c>
      <c r="AK147" s="4"/>
      <c r="AL147" s="4"/>
      <c r="AM147" s="17" t="s">
        <v>677</v>
      </c>
      <c r="AN147" s="17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:67" ht="15" customHeight="1" thickBot="1">
      <c r="A148" s="6"/>
      <c r="B148" s="249"/>
      <c r="C148" s="250"/>
      <c r="D148" s="250"/>
      <c r="E148" s="250"/>
      <c r="F148" s="257"/>
      <c r="G148" s="246" t="s">
        <v>7</v>
      </c>
      <c r="H148" s="247"/>
      <c r="I148" s="247"/>
      <c r="J148" s="248"/>
      <c r="K148" s="75"/>
      <c r="L148" s="53"/>
      <c r="M148" s="220"/>
      <c r="N148" s="221"/>
      <c r="O148" s="143"/>
      <c r="P148" s="190"/>
      <c r="Q148" s="94"/>
      <c r="R148" s="94"/>
      <c r="S148" s="157">
        <f>LEN(K148)*LEN(O148)</f>
        <v>0</v>
      </c>
      <c r="T148" s="155" t="str">
        <f t="shared" si="3"/>
        <v>*</v>
      </c>
      <c r="U148" s="8"/>
      <c r="V148" s="8"/>
      <c r="W148" s="8"/>
      <c r="X148" s="8"/>
      <c r="Y148" s="9"/>
      <c r="Z148" s="8"/>
      <c r="AA148" s="8"/>
      <c r="AB148" s="8"/>
      <c r="AC148" s="8"/>
      <c r="AD148" s="8"/>
      <c r="AE148" s="8"/>
      <c r="AF148" s="8"/>
      <c r="AG148" s="4"/>
      <c r="AH148" s="134" t="s">
        <v>915</v>
      </c>
      <c r="AI148" s="134">
        <v>142</v>
      </c>
      <c r="AJ148" s="139" t="s">
        <v>816</v>
      </c>
      <c r="AK148" s="8"/>
      <c r="AL148" s="4"/>
      <c r="AM148" s="17" t="s">
        <v>679</v>
      </c>
      <c r="AN148" s="17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:67" ht="15" customHeight="1" thickBot="1">
      <c r="A149" s="6"/>
      <c r="B149" s="249" t="s">
        <v>1335</v>
      </c>
      <c r="C149" s="250"/>
      <c r="D149" s="250"/>
      <c r="E149" s="250"/>
      <c r="F149" s="257"/>
      <c r="G149" s="246" t="s">
        <v>1374</v>
      </c>
      <c r="H149" s="247"/>
      <c r="I149" s="247"/>
      <c r="J149" s="248"/>
      <c r="K149" s="75"/>
      <c r="L149" s="76"/>
      <c r="M149" s="220"/>
      <c r="N149" s="221"/>
      <c r="O149" s="143"/>
      <c r="P149" s="181" t="s">
        <v>1350</v>
      </c>
      <c r="Q149" s="94"/>
      <c r="R149" s="94"/>
      <c r="S149" s="157">
        <f>LEN(K149)*LEN(L149)</f>
        <v>0</v>
      </c>
      <c r="T149" s="155" t="str">
        <f t="shared" si="3"/>
        <v>*</v>
      </c>
      <c r="U149" s="8"/>
      <c r="V149" s="8"/>
      <c r="W149" s="8"/>
      <c r="X149" s="8"/>
      <c r="Y149" s="9"/>
      <c r="Z149" s="8"/>
      <c r="AA149" s="8"/>
      <c r="AB149" s="8"/>
      <c r="AC149" s="8"/>
      <c r="AD149" s="8"/>
      <c r="AE149" s="8"/>
      <c r="AF149" s="8"/>
      <c r="AG149" s="4"/>
      <c r="AH149" s="134" t="s">
        <v>916</v>
      </c>
      <c r="AI149" s="134">
        <v>143</v>
      </c>
      <c r="AJ149" s="139" t="s">
        <v>816</v>
      </c>
      <c r="AK149" s="8"/>
      <c r="AL149" s="4"/>
      <c r="AM149" s="17" t="s">
        <v>1152</v>
      </c>
      <c r="AN149" s="17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:67" ht="15" customHeight="1" thickBot="1">
      <c r="A150" s="6"/>
      <c r="B150" s="249" t="s">
        <v>1336</v>
      </c>
      <c r="C150" s="250"/>
      <c r="D150" s="250"/>
      <c r="E150" s="250"/>
      <c r="F150" s="257"/>
      <c r="G150" s="246" t="s">
        <v>1375</v>
      </c>
      <c r="H150" s="247"/>
      <c r="I150" s="247"/>
      <c r="J150" s="248"/>
      <c r="K150" s="55"/>
      <c r="L150" s="76"/>
      <c r="M150" s="220"/>
      <c r="N150" s="221"/>
      <c r="O150" s="143"/>
      <c r="P150" s="181" t="s">
        <v>1350</v>
      </c>
      <c r="Q150" s="94"/>
      <c r="R150" s="94"/>
      <c r="S150" s="158">
        <f t="shared" ref="S150:S158" si="4">LEN(L150)</f>
        <v>0</v>
      </c>
      <c r="T150" s="155" t="str">
        <f t="shared" si="3"/>
        <v>*</v>
      </c>
      <c r="U150" s="8"/>
      <c r="V150" s="8"/>
      <c r="W150" s="8"/>
      <c r="X150" s="8"/>
      <c r="Y150" s="9"/>
      <c r="Z150" s="8"/>
      <c r="AA150" s="8"/>
      <c r="AB150" s="8"/>
      <c r="AC150" s="8"/>
      <c r="AD150" s="8"/>
      <c r="AE150" s="8"/>
      <c r="AF150" s="8"/>
      <c r="AG150" s="4"/>
      <c r="AH150" s="134" t="s">
        <v>476</v>
      </c>
      <c r="AI150" s="134">
        <v>144</v>
      </c>
      <c r="AJ150" s="139" t="s">
        <v>816</v>
      </c>
      <c r="AK150" s="8"/>
      <c r="AL150" s="4"/>
      <c r="AM150" s="17" t="s">
        <v>1153</v>
      </c>
      <c r="AN150" s="17" t="s">
        <v>680</v>
      </c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:67" ht="15" customHeight="1" thickBot="1">
      <c r="A151" s="6"/>
      <c r="B151" s="249" t="s">
        <v>35</v>
      </c>
      <c r="C151" s="250"/>
      <c r="D151" s="250"/>
      <c r="E151" s="250"/>
      <c r="F151" s="257"/>
      <c r="G151" s="246" t="s">
        <v>36</v>
      </c>
      <c r="H151" s="247"/>
      <c r="I151" s="247"/>
      <c r="J151" s="248"/>
      <c r="K151" s="56"/>
      <c r="L151" s="76"/>
      <c r="M151" s="220"/>
      <c r="N151" s="221"/>
      <c r="O151" s="143"/>
      <c r="P151" s="181" t="s">
        <v>1350</v>
      </c>
      <c r="Q151" s="94"/>
      <c r="R151" s="94"/>
      <c r="S151" s="158">
        <f t="shared" si="4"/>
        <v>0</v>
      </c>
      <c r="T151" s="155" t="str">
        <f t="shared" si="3"/>
        <v>*</v>
      </c>
      <c r="U151" s="8"/>
      <c r="V151" s="8"/>
      <c r="W151" s="8"/>
      <c r="X151" s="8"/>
      <c r="Y151" s="9"/>
      <c r="Z151" s="8"/>
      <c r="AA151" s="8"/>
      <c r="AB151" s="8"/>
      <c r="AC151" s="8"/>
      <c r="AD151" s="8"/>
      <c r="AE151" s="8"/>
      <c r="AF151" s="8"/>
      <c r="AG151" s="4"/>
      <c r="AH151" s="134" t="s">
        <v>917</v>
      </c>
      <c r="AI151" s="134">
        <v>145</v>
      </c>
      <c r="AJ151" s="139" t="s">
        <v>816</v>
      </c>
      <c r="AK151" s="8"/>
      <c r="AL151" s="4"/>
      <c r="AM151" s="17" t="s">
        <v>1154</v>
      </c>
      <c r="AN151" s="17" t="s">
        <v>681</v>
      </c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:67" ht="15" customHeight="1" thickBot="1">
      <c r="A152" s="6"/>
      <c r="B152" s="249" t="s">
        <v>1337</v>
      </c>
      <c r="C152" s="250"/>
      <c r="D152" s="250"/>
      <c r="E152" s="250"/>
      <c r="F152" s="257"/>
      <c r="G152" s="246" t="s">
        <v>1376</v>
      </c>
      <c r="H152" s="247"/>
      <c r="I152" s="247"/>
      <c r="J152" s="248"/>
      <c r="K152" s="57"/>
      <c r="L152" s="76"/>
      <c r="M152" s="220"/>
      <c r="N152" s="221"/>
      <c r="O152" s="143"/>
      <c r="P152" s="181" t="s">
        <v>1350</v>
      </c>
      <c r="Q152" s="94"/>
      <c r="R152" s="94"/>
      <c r="S152" s="158">
        <f t="shared" si="4"/>
        <v>0</v>
      </c>
      <c r="T152" s="155" t="str">
        <f t="shared" si="3"/>
        <v>*</v>
      </c>
      <c r="U152" s="8"/>
      <c r="V152" s="8"/>
      <c r="W152" s="8"/>
      <c r="X152" s="8"/>
      <c r="Y152" s="9"/>
      <c r="Z152" s="8"/>
      <c r="AA152" s="8"/>
      <c r="AB152" s="8"/>
      <c r="AC152" s="8"/>
      <c r="AD152" s="8"/>
      <c r="AE152" s="8"/>
      <c r="AF152" s="8"/>
      <c r="AG152" s="4"/>
      <c r="AH152" s="134" t="s">
        <v>918</v>
      </c>
      <c r="AI152" s="134">
        <v>146</v>
      </c>
      <c r="AJ152" s="139" t="s">
        <v>816</v>
      </c>
      <c r="AK152" s="8"/>
      <c r="AL152" s="4"/>
      <c r="AM152" s="17" t="s">
        <v>1155</v>
      </c>
      <c r="AN152" s="17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:67" ht="15" customHeight="1" thickBot="1">
      <c r="A153" s="6"/>
      <c r="B153" s="249" t="s">
        <v>1338</v>
      </c>
      <c r="C153" s="250"/>
      <c r="D153" s="250"/>
      <c r="E153" s="250"/>
      <c r="F153" s="257"/>
      <c r="G153" s="246" t="s">
        <v>1377</v>
      </c>
      <c r="H153" s="247"/>
      <c r="I153" s="247"/>
      <c r="J153" s="248"/>
      <c r="K153" s="75"/>
      <c r="L153" s="76"/>
      <c r="M153" s="220"/>
      <c r="N153" s="221"/>
      <c r="O153" s="143"/>
      <c r="P153" s="181" t="s">
        <v>1350</v>
      </c>
      <c r="Q153" s="94"/>
      <c r="R153" s="94"/>
      <c r="S153" s="158">
        <f t="shared" si="4"/>
        <v>0</v>
      </c>
      <c r="T153" s="155" t="str">
        <f t="shared" si="3"/>
        <v>*</v>
      </c>
      <c r="U153" s="8"/>
      <c r="V153" s="8"/>
      <c r="W153" s="8"/>
      <c r="X153" s="8"/>
      <c r="Y153" s="9"/>
      <c r="Z153" s="8"/>
      <c r="AA153" s="8"/>
      <c r="AB153" s="8"/>
      <c r="AC153" s="8"/>
      <c r="AD153" s="8"/>
      <c r="AE153" s="8"/>
      <c r="AF153" s="8"/>
      <c r="AG153" s="4"/>
      <c r="AH153" s="134" t="s">
        <v>919</v>
      </c>
      <c r="AI153" s="134">
        <v>147</v>
      </c>
      <c r="AJ153" s="140" t="s">
        <v>816</v>
      </c>
      <c r="AK153" s="8"/>
      <c r="AL153" s="4"/>
      <c r="AM153" s="17" t="s">
        <v>1156</v>
      </c>
      <c r="AN153" s="17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:67" ht="15" customHeight="1" thickBot="1">
      <c r="A154" s="6"/>
      <c r="B154" s="249" t="s">
        <v>1339</v>
      </c>
      <c r="C154" s="250"/>
      <c r="D154" s="250"/>
      <c r="E154" s="250"/>
      <c r="F154" s="257"/>
      <c r="G154" s="246" t="s">
        <v>1378</v>
      </c>
      <c r="H154" s="247"/>
      <c r="I154" s="247"/>
      <c r="J154" s="248"/>
      <c r="K154" s="75"/>
      <c r="L154" s="76"/>
      <c r="M154" s="220"/>
      <c r="N154" s="221"/>
      <c r="O154" s="143"/>
      <c r="P154" s="181" t="s">
        <v>1350</v>
      </c>
      <c r="Q154" s="94"/>
      <c r="R154" s="94"/>
      <c r="S154" s="158">
        <f t="shared" si="4"/>
        <v>0</v>
      </c>
      <c r="T154" s="155" t="str">
        <f t="shared" si="3"/>
        <v>*</v>
      </c>
      <c r="U154" s="8"/>
      <c r="V154" s="8"/>
      <c r="W154" s="8"/>
      <c r="X154" s="8"/>
      <c r="Y154" s="9"/>
      <c r="Z154" s="8"/>
      <c r="AA154" s="8"/>
      <c r="AB154" s="8"/>
      <c r="AC154" s="8"/>
      <c r="AD154" s="8"/>
      <c r="AE154" s="8"/>
      <c r="AF154" s="8"/>
      <c r="AG154" s="4"/>
      <c r="AH154" s="137" t="s">
        <v>920</v>
      </c>
      <c r="AI154" s="137">
        <v>148</v>
      </c>
      <c r="AJ154" s="140" t="s">
        <v>816</v>
      </c>
      <c r="AK154" s="8"/>
      <c r="AL154" s="4"/>
      <c r="AM154" s="17" t="s">
        <v>1157</v>
      </c>
      <c r="AN154" s="17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:67" ht="15" customHeight="1" thickBot="1">
      <c r="A155" s="6"/>
      <c r="B155" s="249" t="s">
        <v>1340</v>
      </c>
      <c r="C155" s="250"/>
      <c r="D155" s="250"/>
      <c r="E155" s="250"/>
      <c r="F155" s="257"/>
      <c r="G155" s="246" t="s">
        <v>1379</v>
      </c>
      <c r="H155" s="247"/>
      <c r="I155" s="247"/>
      <c r="J155" s="248"/>
      <c r="K155" s="75"/>
      <c r="L155" s="76"/>
      <c r="M155" s="220"/>
      <c r="N155" s="221"/>
      <c r="O155" s="143"/>
      <c r="P155" s="181" t="s">
        <v>1350</v>
      </c>
      <c r="Q155" s="94"/>
      <c r="R155" s="94"/>
      <c r="S155" s="158">
        <f t="shared" si="4"/>
        <v>0</v>
      </c>
      <c r="T155" s="155" t="str">
        <f t="shared" si="3"/>
        <v>*</v>
      </c>
      <c r="U155" s="8"/>
      <c r="V155" s="8"/>
      <c r="W155" s="8"/>
      <c r="X155" s="8"/>
      <c r="Y155" s="9"/>
      <c r="Z155" s="8"/>
      <c r="AA155" s="8"/>
      <c r="AB155" s="8"/>
      <c r="AC155" s="8"/>
      <c r="AD155" s="8"/>
      <c r="AE155" s="8"/>
      <c r="AF155" s="8"/>
      <c r="AG155" s="4"/>
      <c r="AH155" s="4"/>
      <c r="AI155" s="4"/>
      <c r="AJ155" s="4"/>
      <c r="AK155" s="8"/>
      <c r="AL155" s="4"/>
      <c r="AM155" s="17" t="s">
        <v>1158</v>
      </c>
      <c r="AN155" s="17" t="s">
        <v>682</v>
      </c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:67" ht="15" customHeight="1" thickBot="1">
      <c r="A156" s="6"/>
      <c r="B156" s="249" t="s">
        <v>151</v>
      </c>
      <c r="C156" s="250"/>
      <c r="D156" s="250"/>
      <c r="E156" s="250"/>
      <c r="F156" s="257"/>
      <c r="G156" s="246" t="s">
        <v>152</v>
      </c>
      <c r="H156" s="247"/>
      <c r="I156" s="247"/>
      <c r="J156" s="248"/>
      <c r="K156" s="75"/>
      <c r="L156" s="76"/>
      <c r="M156" s="220"/>
      <c r="N156" s="221"/>
      <c r="O156" s="143"/>
      <c r="P156" s="181" t="s">
        <v>1350</v>
      </c>
      <c r="Q156" s="94"/>
      <c r="R156" s="94"/>
      <c r="S156" s="158">
        <f t="shared" si="4"/>
        <v>0</v>
      </c>
      <c r="T156" s="155" t="str">
        <f t="shared" si="3"/>
        <v>*</v>
      </c>
      <c r="U156" s="8"/>
      <c r="V156" s="8"/>
      <c r="W156" s="8"/>
      <c r="X156" s="8"/>
      <c r="Y156" s="9"/>
      <c r="Z156" s="8"/>
      <c r="AA156" s="8"/>
      <c r="AB156" s="8"/>
      <c r="AC156" s="8"/>
      <c r="AD156" s="8"/>
      <c r="AE156" s="8"/>
      <c r="AF156" s="8"/>
      <c r="AG156" s="4"/>
      <c r="AH156" s="4"/>
      <c r="AI156" s="4"/>
      <c r="AJ156" s="4"/>
      <c r="AK156" s="8"/>
      <c r="AL156" s="4"/>
      <c r="AM156" s="17" t="s">
        <v>1159</v>
      </c>
      <c r="AN156" s="17" t="s">
        <v>683</v>
      </c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:67" ht="15" customHeight="1" thickBot="1">
      <c r="A157" s="6"/>
      <c r="B157" s="249" t="s">
        <v>403</v>
      </c>
      <c r="C157" s="250"/>
      <c r="D157" s="250"/>
      <c r="E157" s="250"/>
      <c r="F157" s="257"/>
      <c r="G157" s="249"/>
      <c r="H157" s="250"/>
      <c r="I157" s="250"/>
      <c r="J157" s="250"/>
      <c r="K157" s="75"/>
      <c r="L157" s="76"/>
      <c r="M157" s="220"/>
      <c r="N157" s="221"/>
      <c r="O157" s="143"/>
      <c r="P157" s="181" t="s">
        <v>1350</v>
      </c>
      <c r="Q157" s="94"/>
      <c r="R157" s="94"/>
      <c r="S157" s="158">
        <f t="shared" si="4"/>
        <v>0</v>
      </c>
      <c r="T157" s="155" t="str">
        <f t="shared" si="3"/>
        <v>*</v>
      </c>
      <c r="U157" s="8"/>
      <c r="V157" s="8"/>
      <c r="W157" s="8"/>
      <c r="X157" s="8"/>
      <c r="Y157" s="9"/>
      <c r="Z157" s="8"/>
      <c r="AA157" s="8"/>
      <c r="AB157" s="8"/>
      <c r="AC157" s="8"/>
      <c r="AD157" s="8"/>
      <c r="AE157" s="8"/>
      <c r="AF157" s="8"/>
      <c r="AG157" s="4"/>
      <c r="AH157" s="4"/>
      <c r="AI157" s="4"/>
      <c r="AJ157" s="4"/>
      <c r="AK157" s="8"/>
      <c r="AL157" s="4"/>
      <c r="AM157" s="17" t="s">
        <v>1160</v>
      </c>
      <c r="AN157" s="17" t="s">
        <v>684</v>
      </c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:67" ht="15" customHeight="1" thickBot="1">
      <c r="A158" s="6"/>
      <c r="B158" s="249" t="s">
        <v>404</v>
      </c>
      <c r="C158" s="250"/>
      <c r="D158" s="250"/>
      <c r="E158" s="250"/>
      <c r="F158" s="257"/>
      <c r="G158" s="249"/>
      <c r="H158" s="250"/>
      <c r="I158" s="250"/>
      <c r="J158" s="250"/>
      <c r="K158" s="75"/>
      <c r="L158" s="76"/>
      <c r="M158" s="220"/>
      <c r="N158" s="221"/>
      <c r="O158" s="143"/>
      <c r="P158" s="188" t="s">
        <v>1350</v>
      </c>
      <c r="Q158" s="94"/>
      <c r="R158" s="94"/>
      <c r="S158" s="158">
        <f t="shared" si="4"/>
        <v>0</v>
      </c>
      <c r="T158" s="155" t="str">
        <f t="shared" si="3"/>
        <v>*</v>
      </c>
      <c r="U158" s="8"/>
      <c r="V158" s="8"/>
      <c r="W158" s="8"/>
      <c r="X158" s="8"/>
      <c r="Y158" s="9"/>
      <c r="Z158" s="8"/>
      <c r="AA158" s="8"/>
      <c r="AB158" s="8"/>
      <c r="AC158" s="8"/>
      <c r="AD158" s="8"/>
      <c r="AE158" s="8"/>
      <c r="AF158" s="8"/>
      <c r="AG158" s="8"/>
      <c r="AH158" s="4"/>
      <c r="AI158" s="4"/>
      <c r="AJ158" s="4"/>
      <c r="AK158" s="8"/>
      <c r="AL158" s="4"/>
      <c r="AM158" s="17" t="s">
        <v>1161</v>
      </c>
      <c r="AN158" s="17"/>
      <c r="AO158" s="4"/>
      <c r="AP158" s="4"/>
      <c r="AQ158" s="4"/>
      <c r="AR158" s="4"/>
      <c r="AS158" s="4"/>
      <c r="AT158" s="8"/>
      <c r="AU158" s="8"/>
      <c r="AV158" s="8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:67" ht="14">
      <c r="A159" s="6"/>
      <c r="B159" s="258" t="s">
        <v>865</v>
      </c>
      <c r="C159" s="259"/>
      <c r="D159" s="259"/>
      <c r="E159" s="259"/>
      <c r="F159" s="260"/>
      <c r="G159" s="249"/>
      <c r="H159" s="250"/>
      <c r="I159" s="250"/>
      <c r="J159" s="250"/>
      <c r="K159" s="75"/>
      <c r="L159" s="76"/>
      <c r="M159" s="220"/>
      <c r="N159" s="221"/>
      <c r="O159" s="143"/>
      <c r="P159" s="188" t="s">
        <v>1350</v>
      </c>
      <c r="Q159" s="114"/>
      <c r="R159" s="114"/>
      <c r="S159" s="158"/>
      <c r="T159" s="87"/>
      <c r="U159" s="8"/>
      <c r="V159" s="8"/>
      <c r="W159" s="8"/>
      <c r="X159" s="8"/>
      <c r="Y159" s="9"/>
      <c r="Z159" s="8"/>
      <c r="AA159" s="8"/>
      <c r="AB159" s="8"/>
      <c r="AC159" s="8"/>
      <c r="AD159" s="8"/>
      <c r="AE159" s="8"/>
      <c r="AF159" s="8"/>
      <c r="AG159" s="8"/>
      <c r="AH159" s="4"/>
      <c r="AI159" s="4"/>
      <c r="AJ159" s="4"/>
      <c r="AK159" s="8"/>
      <c r="AL159" s="4"/>
      <c r="AM159" s="17" t="s">
        <v>1162</v>
      </c>
      <c r="AN159" s="17" t="s">
        <v>685</v>
      </c>
      <c r="AO159" s="4"/>
      <c r="AP159" s="4"/>
      <c r="AQ159" s="4"/>
      <c r="AR159" s="4"/>
      <c r="AS159" s="4"/>
      <c r="AT159" s="8"/>
      <c r="AU159" s="8"/>
      <c r="AV159" s="8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:67">
      <c r="A160" s="6"/>
      <c r="B160" s="133"/>
      <c r="C160" s="133"/>
      <c r="D160" s="133"/>
      <c r="E160" s="133"/>
      <c r="F160" s="133"/>
      <c r="G160" s="133"/>
      <c r="H160" s="133"/>
      <c r="I160" s="133"/>
      <c r="J160" s="114"/>
      <c r="K160" s="114"/>
      <c r="L160" s="114"/>
      <c r="M160" s="114"/>
      <c r="N160" s="114"/>
      <c r="O160" s="114"/>
      <c r="P160" s="114"/>
      <c r="Q160" s="114"/>
      <c r="R160" s="114"/>
      <c r="S160" s="156"/>
      <c r="T160" s="87"/>
      <c r="U160" s="8"/>
      <c r="V160" s="8"/>
      <c r="W160" s="8"/>
      <c r="X160" s="8"/>
      <c r="Y160" s="9"/>
      <c r="Z160" s="8"/>
      <c r="AA160" s="8"/>
      <c r="AB160" s="8"/>
      <c r="AC160" s="8"/>
      <c r="AD160" s="8"/>
      <c r="AE160" s="8"/>
      <c r="AF160" s="8"/>
      <c r="AG160" s="8"/>
      <c r="AH160" s="4"/>
      <c r="AI160" s="4"/>
      <c r="AJ160" s="4"/>
      <c r="AK160" s="8"/>
      <c r="AL160" s="4"/>
      <c r="AM160" s="17" t="s">
        <v>1163</v>
      </c>
      <c r="AN160" s="17"/>
      <c r="AO160" s="4"/>
      <c r="AP160" s="4"/>
      <c r="AQ160" s="4"/>
      <c r="AR160" s="4"/>
      <c r="AS160" s="4"/>
      <c r="AT160" s="8"/>
      <c r="AU160" s="8"/>
      <c r="AV160" s="8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:67">
      <c r="A161" s="6"/>
      <c r="B161" s="133"/>
      <c r="C161" s="133"/>
      <c r="D161" s="133"/>
      <c r="E161" s="133"/>
      <c r="F161" s="133"/>
      <c r="G161" s="133"/>
      <c r="H161" s="133"/>
      <c r="I161" s="133"/>
      <c r="J161" s="114"/>
      <c r="K161" s="114"/>
      <c r="L161" s="114"/>
      <c r="M161" s="114"/>
      <c r="N161" s="114"/>
      <c r="O161" s="114"/>
      <c r="P161" s="114"/>
      <c r="Q161" s="114"/>
      <c r="R161" s="114"/>
      <c r="S161" s="156"/>
      <c r="T161" s="87"/>
      <c r="U161" s="8"/>
      <c r="V161" s="8"/>
      <c r="W161" s="8"/>
      <c r="X161" s="8"/>
      <c r="Y161" s="9"/>
      <c r="Z161" s="8"/>
      <c r="AA161" s="8"/>
      <c r="AB161" s="8"/>
      <c r="AC161" s="8"/>
      <c r="AD161" s="8"/>
      <c r="AE161" s="8"/>
      <c r="AF161" s="8"/>
      <c r="AG161" s="8"/>
      <c r="AH161" s="4"/>
      <c r="AI161" s="4"/>
      <c r="AJ161" s="4"/>
      <c r="AK161" s="4"/>
      <c r="AL161" s="4"/>
      <c r="AM161" s="17" t="s">
        <v>1164</v>
      </c>
      <c r="AN161" s="17" t="s">
        <v>686</v>
      </c>
      <c r="AO161" s="4"/>
      <c r="AP161" s="4"/>
      <c r="AQ161" s="4"/>
      <c r="AR161" s="4"/>
      <c r="AS161" s="4"/>
      <c r="AT161" s="8"/>
      <c r="AU161" s="8"/>
      <c r="AV161" s="8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:67">
      <c r="A162" s="6"/>
      <c r="B162" s="133"/>
      <c r="C162" s="133"/>
      <c r="D162" s="133"/>
      <c r="E162" s="133"/>
      <c r="F162" s="133"/>
      <c r="G162" s="133"/>
      <c r="H162" s="133"/>
      <c r="I162" s="133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94"/>
      <c r="U162" s="8"/>
      <c r="V162" s="8"/>
      <c r="W162" s="8"/>
      <c r="X162" s="8"/>
      <c r="Y162" s="9"/>
      <c r="Z162" s="8"/>
      <c r="AA162" s="8"/>
      <c r="AB162" s="8"/>
      <c r="AC162" s="8"/>
      <c r="AD162" s="8"/>
      <c r="AE162" s="8"/>
      <c r="AF162" s="8"/>
      <c r="AG162" s="8"/>
      <c r="AH162" s="4"/>
      <c r="AI162" s="4"/>
      <c r="AJ162" s="4"/>
      <c r="AK162" s="4"/>
      <c r="AL162" s="4"/>
      <c r="AM162" s="17" t="s">
        <v>857</v>
      </c>
      <c r="AN162" s="17"/>
      <c r="AO162" s="4"/>
      <c r="AP162" s="4"/>
      <c r="AQ162" s="4"/>
      <c r="AR162" s="4"/>
      <c r="AS162" s="4"/>
      <c r="AT162" s="8"/>
      <c r="AU162" s="8"/>
      <c r="AV162" s="8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:67">
      <c r="A163" s="6"/>
      <c r="B163" s="133"/>
      <c r="C163" s="133"/>
      <c r="D163" s="133"/>
      <c r="E163" s="133"/>
      <c r="F163" s="133"/>
      <c r="G163" s="133"/>
      <c r="H163" s="133"/>
      <c r="I163" s="133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94"/>
      <c r="U163" s="8"/>
      <c r="V163" s="8"/>
      <c r="W163" s="8"/>
      <c r="X163" s="8"/>
      <c r="Y163" s="9"/>
      <c r="Z163" s="8"/>
      <c r="AA163" s="8"/>
      <c r="AB163" s="8"/>
      <c r="AC163" s="8"/>
      <c r="AD163" s="8"/>
      <c r="AE163" s="8"/>
      <c r="AF163" s="8"/>
      <c r="AG163" s="8"/>
      <c r="AH163" s="4"/>
      <c r="AI163" s="4"/>
      <c r="AJ163" s="4"/>
      <c r="AK163" s="4"/>
      <c r="AL163" s="4"/>
      <c r="AM163" s="17" t="s">
        <v>1165</v>
      </c>
      <c r="AN163" s="17" t="s">
        <v>687</v>
      </c>
      <c r="AO163" s="4"/>
      <c r="AP163" s="4"/>
      <c r="AQ163" s="4"/>
      <c r="AR163" s="4"/>
      <c r="AS163" s="4"/>
      <c r="AT163" s="8"/>
      <c r="AU163" s="8"/>
      <c r="AV163" s="8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:67">
      <c r="A164" s="6"/>
      <c r="B164" s="133"/>
      <c r="C164" s="133"/>
      <c r="D164" s="133"/>
      <c r="E164" s="133"/>
      <c r="F164" s="133"/>
      <c r="G164" s="133"/>
      <c r="H164" s="133"/>
      <c r="I164" s="133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94"/>
      <c r="U164" s="8"/>
      <c r="V164" s="8"/>
      <c r="W164" s="8"/>
      <c r="X164" s="8"/>
      <c r="Y164" s="9"/>
      <c r="Z164" s="8"/>
      <c r="AA164" s="8"/>
      <c r="AB164" s="8"/>
      <c r="AC164" s="8"/>
      <c r="AD164" s="8"/>
      <c r="AE164" s="8"/>
      <c r="AF164" s="8"/>
      <c r="AG164" s="8"/>
      <c r="AH164" s="4"/>
      <c r="AI164" s="4"/>
      <c r="AJ164" s="4"/>
      <c r="AK164" s="4"/>
      <c r="AL164" s="4"/>
      <c r="AM164" s="17" t="s">
        <v>1166</v>
      </c>
      <c r="AN164" s="17" t="s">
        <v>688</v>
      </c>
      <c r="AO164" s="4"/>
      <c r="AP164" s="4"/>
      <c r="AQ164" s="4"/>
      <c r="AR164" s="4"/>
      <c r="AS164" s="4"/>
      <c r="AT164" s="8"/>
      <c r="AU164" s="8"/>
      <c r="AV164" s="8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:67">
      <c r="A165" s="43"/>
      <c r="B165" s="8"/>
      <c r="C165" s="8"/>
      <c r="D165" s="8"/>
      <c r="E165" s="8"/>
      <c r="F165" s="8"/>
      <c r="G165" s="8"/>
      <c r="H165" s="8"/>
      <c r="I165" s="8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94"/>
      <c r="U165" s="8"/>
      <c r="V165" s="8"/>
      <c r="W165" s="8"/>
      <c r="X165" s="8"/>
      <c r="Y165" s="9"/>
      <c r="Z165" s="8"/>
      <c r="AA165" s="8"/>
      <c r="AB165" s="8"/>
      <c r="AC165" s="8"/>
      <c r="AD165" s="8"/>
      <c r="AE165" s="8"/>
      <c r="AF165" s="8"/>
      <c r="AG165" s="8"/>
      <c r="AH165" s="4"/>
      <c r="AI165" s="4"/>
      <c r="AJ165" s="4"/>
      <c r="AK165" s="4"/>
      <c r="AL165" s="4"/>
      <c r="AM165" s="17" t="s">
        <v>1167</v>
      </c>
      <c r="AN165" s="17" t="s">
        <v>689</v>
      </c>
      <c r="AO165" s="4"/>
      <c r="AP165" s="4"/>
      <c r="AQ165" s="4"/>
      <c r="AR165" s="4"/>
      <c r="AS165" s="4"/>
      <c r="AT165" s="8"/>
      <c r="AU165" s="8"/>
      <c r="AV165" s="8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:67" ht="18">
      <c r="A166" s="43"/>
      <c r="B166" s="10" t="s">
        <v>32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94"/>
      <c r="S166" s="114"/>
      <c r="T166" s="94"/>
      <c r="U166" s="8"/>
      <c r="V166" s="8"/>
      <c r="W166" s="8"/>
      <c r="X166" s="8"/>
      <c r="Y166" s="9"/>
      <c r="Z166" s="8"/>
      <c r="AA166" s="8"/>
      <c r="AB166" s="8"/>
      <c r="AC166" s="8"/>
      <c r="AD166" s="8"/>
      <c r="AE166" s="8"/>
      <c r="AF166" s="4"/>
      <c r="AG166" s="8"/>
      <c r="AH166" s="4"/>
      <c r="AI166" s="4"/>
      <c r="AJ166" s="4"/>
      <c r="AK166" s="4"/>
      <c r="AL166" s="4"/>
      <c r="AM166" s="17" t="s">
        <v>1168</v>
      </c>
      <c r="AN166" s="17" t="s">
        <v>691</v>
      </c>
      <c r="AO166" s="4"/>
      <c r="AP166" s="4"/>
      <c r="AQ166" s="4"/>
      <c r="AR166" s="4"/>
      <c r="AS166" s="4"/>
      <c r="AT166" s="8"/>
      <c r="AU166" s="8"/>
      <c r="AV166" s="8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:67" ht="12.75" customHeight="1">
      <c r="A167" s="43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94"/>
      <c r="S167" s="114"/>
      <c r="T167" s="94"/>
      <c r="U167" s="8"/>
      <c r="V167" s="8"/>
      <c r="W167" s="8"/>
      <c r="X167" s="8"/>
      <c r="Y167" s="9"/>
      <c r="Z167" s="8"/>
      <c r="AA167" s="8"/>
      <c r="AB167" s="8"/>
      <c r="AC167" s="8"/>
      <c r="AD167" s="8"/>
      <c r="AE167" s="8"/>
      <c r="AF167" s="4"/>
      <c r="AG167" s="8"/>
      <c r="AH167" s="4"/>
      <c r="AI167" s="4"/>
      <c r="AJ167" s="4"/>
      <c r="AK167" s="4"/>
      <c r="AL167" s="4"/>
      <c r="AM167" s="17" t="s">
        <v>1169</v>
      </c>
      <c r="AN167" s="17" t="s">
        <v>690</v>
      </c>
      <c r="AO167" s="4"/>
      <c r="AP167" s="4"/>
      <c r="AQ167" s="4"/>
      <c r="AR167" s="4"/>
      <c r="AS167" s="4"/>
      <c r="AT167" s="8"/>
      <c r="AU167" s="8"/>
      <c r="AV167" s="8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:67" ht="12.75" customHeight="1" thickBot="1">
      <c r="A168" s="43"/>
      <c r="B168" s="40" t="s">
        <v>2</v>
      </c>
      <c r="C168" s="40" t="s">
        <v>3</v>
      </c>
      <c r="D168" s="253" t="s">
        <v>1341</v>
      </c>
      <c r="E168" s="253"/>
      <c r="F168" s="40" t="s">
        <v>1342</v>
      </c>
      <c r="G168" s="40" t="s">
        <v>1343</v>
      </c>
      <c r="H168" s="40" t="s">
        <v>1344</v>
      </c>
      <c r="I168" s="40" t="s">
        <v>1345</v>
      </c>
      <c r="J168" s="40" t="s">
        <v>1346</v>
      </c>
      <c r="K168" s="253" t="s">
        <v>1347</v>
      </c>
      <c r="L168" s="253"/>
      <c r="M168" s="253" t="s">
        <v>1348</v>
      </c>
      <c r="N168" s="253"/>
      <c r="O168" s="253"/>
      <c r="P168" s="217" t="s">
        <v>1437</v>
      </c>
      <c r="Q168" s="218"/>
      <c r="R168" s="219"/>
      <c r="S168" s="114"/>
      <c r="T168" s="94"/>
      <c r="U168" s="8"/>
      <c r="V168" s="8"/>
      <c r="W168" s="8"/>
      <c r="X168" s="8"/>
      <c r="Y168" s="9"/>
      <c r="Z168" s="8"/>
      <c r="AA168" s="8"/>
      <c r="AB168" s="8"/>
      <c r="AC168" s="8"/>
      <c r="AD168" s="8"/>
      <c r="AE168" s="8"/>
      <c r="AF168" s="4"/>
      <c r="AG168" s="8"/>
      <c r="AH168" s="4"/>
      <c r="AI168" s="4"/>
      <c r="AJ168" s="4"/>
      <c r="AK168" s="4"/>
      <c r="AL168" s="4"/>
      <c r="AM168" s="17" t="s">
        <v>1170</v>
      </c>
      <c r="AN168" s="17" t="s">
        <v>693</v>
      </c>
      <c r="AO168" s="4"/>
      <c r="AP168" s="4"/>
      <c r="AQ168" s="4"/>
      <c r="AR168" s="4"/>
      <c r="AS168" s="4"/>
      <c r="AT168" s="8"/>
      <c r="AU168" s="8"/>
      <c r="AV168" s="8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:67" ht="15.75" customHeight="1" thickBot="1">
      <c r="A169" s="43"/>
      <c r="B169" s="78"/>
      <c r="C169" s="79"/>
      <c r="D169" s="251"/>
      <c r="E169" s="252"/>
      <c r="F169" s="80"/>
      <c r="G169" s="80"/>
      <c r="H169" s="80"/>
      <c r="I169" s="80"/>
      <c r="J169" s="80"/>
      <c r="K169" s="251"/>
      <c r="L169" s="252"/>
      <c r="M169" s="254"/>
      <c r="N169" s="255"/>
      <c r="O169" s="256"/>
      <c r="P169" s="214"/>
      <c r="Q169" s="215"/>
      <c r="R169" s="216"/>
      <c r="S169" s="114"/>
      <c r="T169" s="94"/>
      <c r="U169" s="8"/>
      <c r="V169" s="8"/>
      <c r="W169" s="8"/>
      <c r="X169" s="8"/>
      <c r="Y169" s="9"/>
      <c r="Z169" s="8"/>
      <c r="AA169" s="8"/>
      <c r="AB169" s="8"/>
      <c r="AC169" s="8"/>
      <c r="AD169" s="8"/>
      <c r="AE169" s="8"/>
      <c r="AF169" s="4"/>
      <c r="AG169" s="8"/>
      <c r="AH169" s="4"/>
      <c r="AI169" s="4"/>
      <c r="AJ169" s="4"/>
      <c r="AK169" s="4"/>
      <c r="AL169" s="4"/>
      <c r="AM169" s="17" t="s">
        <v>1171</v>
      </c>
      <c r="AN169" s="17"/>
      <c r="AO169" s="4"/>
      <c r="AP169" s="4"/>
      <c r="AQ169" s="4"/>
      <c r="AR169" s="4"/>
      <c r="AS169" s="4"/>
      <c r="AT169" s="8"/>
      <c r="AU169" s="8"/>
      <c r="AV169" s="8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:67" ht="15.75" customHeight="1" thickBot="1">
      <c r="A170" s="43"/>
      <c r="B170" s="78"/>
      <c r="C170" s="79"/>
      <c r="D170" s="251"/>
      <c r="E170" s="252"/>
      <c r="F170" s="80"/>
      <c r="G170" s="80"/>
      <c r="H170" s="80"/>
      <c r="I170" s="80"/>
      <c r="J170" s="80"/>
      <c r="K170" s="251"/>
      <c r="L170" s="252"/>
      <c r="M170" s="254"/>
      <c r="N170" s="255"/>
      <c r="O170" s="256"/>
      <c r="P170" s="214"/>
      <c r="Q170" s="215"/>
      <c r="R170" s="216"/>
      <c r="S170" s="94"/>
      <c r="T170" s="94"/>
      <c r="U170" s="8"/>
      <c r="V170" s="8"/>
      <c r="W170" s="8"/>
      <c r="X170" s="8"/>
      <c r="Y170" s="9"/>
      <c r="Z170" s="8"/>
      <c r="AA170" s="8"/>
      <c r="AB170" s="8"/>
      <c r="AC170" s="8"/>
      <c r="AD170" s="8"/>
      <c r="AE170" s="8"/>
      <c r="AF170" s="4"/>
      <c r="AG170" s="8"/>
      <c r="AH170" s="4"/>
      <c r="AI170" s="4"/>
      <c r="AJ170" s="4"/>
      <c r="AK170" s="4"/>
      <c r="AL170" s="4"/>
      <c r="AM170" s="17" t="s">
        <v>1172</v>
      </c>
      <c r="AN170" s="17" t="s">
        <v>694</v>
      </c>
      <c r="AO170" s="4"/>
      <c r="AP170" s="4"/>
      <c r="AQ170" s="4"/>
      <c r="AR170" s="4"/>
      <c r="AS170" s="4"/>
      <c r="AT170" s="8"/>
      <c r="AU170" s="8"/>
      <c r="AV170" s="8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:67" ht="15.75" customHeight="1" thickBot="1">
      <c r="A171" s="43"/>
      <c r="B171" s="78"/>
      <c r="C171" s="79"/>
      <c r="D171" s="251"/>
      <c r="E171" s="252"/>
      <c r="F171" s="80"/>
      <c r="G171" s="80"/>
      <c r="H171" s="80"/>
      <c r="I171" s="80"/>
      <c r="J171" s="80"/>
      <c r="K171" s="251"/>
      <c r="L171" s="252"/>
      <c r="M171" s="254"/>
      <c r="N171" s="255"/>
      <c r="O171" s="256"/>
      <c r="P171" s="214"/>
      <c r="Q171" s="215"/>
      <c r="R171" s="216"/>
      <c r="S171" s="8"/>
      <c r="T171" s="8"/>
      <c r="U171" s="8"/>
      <c r="V171" s="8"/>
      <c r="W171" s="8"/>
      <c r="X171" s="8"/>
      <c r="Y171" s="9"/>
      <c r="Z171" s="8"/>
      <c r="AA171" s="8"/>
      <c r="AB171" s="8"/>
      <c r="AC171" s="8"/>
      <c r="AD171" s="8"/>
      <c r="AE171" s="8"/>
      <c r="AF171" s="4"/>
      <c r="AG171" s="8"/>
      <c r="AH171" s="4"/>
      <c r="AI171" s="4"/>
      <c r="AJ171" s="4"/>
      <c r="AK171" s="4"/>
      <c r="AL171" s="4"/>
      <c r="AM171" s="17" t="s">
        <v>692</v>
      </c>
      <c r="AN171" s="17" t="s">
        <v>604</v>
      </c>
      <c r="AO171" s="4"/>
      <c r="AP171" s="4"/>
      <c r="AQ171" s="4"/>
      <c r="AR171" s="4"/>
      <c r="AS171" s="4"/>
      <c r="AT171" s="8"/>
      <c r="AU171" s="8"/>
      <c r="AV171" s="8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:67" ht="15.75" customHeight="1" thickBot="1">
      <c r="A172" s="43"/>
      <c r="B172" s="78"/>
      <c r="C172" s="79"/>
      <c r="D172" s="251"/>
      <c r="E172" s="252"/>
      <c r="F172" s="80"/>
      <c r="G172" s="80"/>
      <c r="H172" s="80"/>
      <c r="I172" s="80"/>
      <c r="J172" s="80"/>
      <c r="K172" s="251"/>
      <c r="L172" s="252"/>
      <c r="M172" s="254"/>
      <c r="N172" s="255"/>
      <c r="O172" s="256"/>
      <c r="P172" s="214"/>
      <c r="Q172" s="215"/>
      <c r="R172" s="216"/>
      <c r="S172" s="8"/>
      <c r="T172" s="8"/>
      <c r="U172" s="8"/>
      <c r="V172" s="8"/>
      <c r="W172" s="8"/>
      <c r="X172" s="8"/>
      <c r="Y172" s="9"/>
      <c r="Z172" s="8"/>
      <c r="AA172" s="8"/>
      <c r="AB172" s="8"/>
      <c r="AC172" s="8"/>
      <c r="AD172" s="8"/>
      <c r="AE172" s="8"/>
      <c r="AF172" s="4"/>
      <c r="AG172" s="8"/>
      <c r="AH172" s="4"/>
      <c r="AI172" s="4"/>
      <c r="AJ172" s="4"/>
      <c r="AK172" s="4"/>
      <c r="AL172" s="4"/>
      <c r="AM172" s="17" t="s">
        <v>1173</v>
      </c>
      <c r="AN172" s="17"/>
      <c r="AO172" s="4"/>
      <c r="AP172" s="4"/>
      <c r="AQ172" s="4"/>
      <c r="AR172" s="4"/>
      <c r="AS172" s="4"/>
      <c r="AT172" s="8"/>
      <c r="AU172" s="8"/>
      <c r="AV172" s="8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:67" ht="15.75" customHeight="1" thickBot="1">
      <c r="A173" s="43"/>
      <c r="B173" s="78"/>
      <c r="C173" s="79"/>
      <c r="D173" s="251"/>
      <c r="E173" s="252"/>
      <c r="F173" s="80"/>
      <c r="G173" s="80"/>
      <c r="H173" s="80"/>
      <c r="I173" s="80"/>
      <c r="J173" s="80"/>
      <c r="K173" s="251"/>
      <c r="L173" s="252"/>
      <c r="M173" s="254"/>
      <c r="N173" s="255"/>
      <c r="O173" s="256"/>
      <c r="P173" s="214"/>
      <c r="Q173" s="215"/>
      <c r="R173" s="216"/>
      <c r="S173" s="8"/>
      <c r="T173" s="8"/>
      <c r="U173" s="8"/>
      <c r="V173" s="8"/>
      <c r="W173" s="8"/>
      <c r="X173" s="8"/>
      <c r="Y173" s="9"/>
      <c r="Z173" s="8"/>
      <c r="AA173" s="8"/>
      <c r="AB173" s="8"/>
      <c r="AC173" s="8"/>
      <c r="AD173" s="8"/>
      <c r="AE173" s="8"/>
      <c r="AF173" s="4"/>
      <c r="AG173" s="8"/>
      <c r="AH173" s="4"/>
      <c r="AI173" s="4"/>
      <c r="AJ173" s="4"/>
      <c r="AK173" s="4"/>
      <c r="AL173" s="4"/>
      <c r="AM173" s="17" t="s">
        <v>1174</v>
      </c>
      <c r="AN173" s="17"/>
      <c r="AO173" s="4"/>
      <c r="AP173" s="4"/>
      <c r="AQ173" s="4"/>
      <c r="AR173" s="4"/>
      <c r="AS173" s="4"/>
      <c r="AT173" s="8"/>
      <c r="AU173" s="8"/>
      <c r="AV173" s="8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:67" ht="15.75" customHeight="1" thickBot="1">
      <c r="A174" s="43"/>
      <c r="B174" s="81"/>
      <c r="C174" s="82"/>
      <c r="D174" s="346"/>
      <c r="E174" s="347"/>
      <c r="F174" s="167"/>
      <c r="G174" s="77"/>
      <c r="H174" s="77"/>
      <c r="I174" s="77"/>
      <c r="J174" s="77"/>
      <c r="K174" s="346"/>
      <c r="L174" s="347"/>
      <c r="M174" s="222"/>
      <c r="N174" s="223"/>
      <c r="O174" s="224"/>
      <c r="P174" s="209"/>
      <c r="Q174" s="210"/>
      <c r="R174" s="211"/>
      <c r="S174" s="8"/>
      <c r="T174" s="8"/>
      <c r="U174" s="8"/>
      <c r="V174" s="8"/>
      <c r="W174" s="8"/>
      <c r="X174" s="8"/>
      <c r="Y174" s="9"/>
      <c r="Z174" s="8"/>
      <c r="AA174" s="8"/>
      <c r="AB174" s="8"/>
      <c r="AC174" s="8"/>
      <c r="AD174" s="8"/>
      <c r="AE174" s="8"/>
      <c r="AF174" s="4"/>
      <c r="AG174" s="8"/>
      <c r="AH174" s="4"/>
      <c r="AI174" s="4"/>
      <c r="AJ174" s="4"/>
      <c r="AK174" s="4"/>
      <c r="AL174" s="4"/>
      <c r="AM174" s="17" t="s">
        <v>1175</v>
      </c>
      <c r="AN174" s="17"/>
      <c r="AO174" s="4"/>
      <c r="AP174" s="4"/>
      <c r="AQ174" s="4"/>
      <c r="AR174" s="4"/>
      <c r="AS174" s="4"/>
      <c r="AT174" s="8"/>
      <c r="AU174" s="8"/>
      <c r="AV174" s="8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:67" ht="15.75" customHeight="1" thickBot="1">
      <c r="A175" s="43"/>
      <c r="B175" s="81"/>
      <c r="C175" s="82"/>
      <c r="D175" s="346"/>
      <c r="E175" s="347"/>
      <c r="F175" s="167"/>
      <c r="G175" s="77"/>
      <c r="H175" s="77"/>
      <c r="I175" s="77"/>
      <c r="J175" s="77"/>
      <c r="K175" s="346"/>
      <c r="L175" s="347"/>
      <c r="M175" s="222"/>
      <c r="N175" s="223"/>
      <c r="O175" s="224"/>
      <c r="P175" s="209"/>
      <c r="Q175" s="210"/>
      <c r="R175" s="211"/>
      <c r="S175" s="8"/>
      <c r="T175" s="8"/>
      <c r="U175" s="8"/>
      <c r="V175" s="8"/>
      <c r="W175" s="8"/>
      <c r="X175" s="8"/>
      <c r="Y175" s="9"/>
      <c r="Z175" s="8"/>
      <c r="AA175" s="8"/>
      <c r="AB175" s="8"/>
      <c r="AC175" s="8"/>
      <c r="AD175" s="8"/>
      <c r="AE175" s="8"/>
      <c r="AF175" s="4"/>
      <c r="AG175" s="8"/>
      <c r="AH175" s="4"/>
      <c r="AI175" s="4"/>
      <c r="AJ175" s="4"/>
      <c r="AK175" s="4"/>
      <c r="AL175" s="4"/>
      <c r="AM175" s="17" t="s">
        <v>1176</v>
      </c>
      <c r="AN175" s="17"/>
      <c r="AO175" s="4"/>
      <c r="AP175" s="4"/>
      <c r="AQ175" s="4"/>
      <c r="AR175" s="4"/>
      <c r="AS175" s="4"/>
      <c r="AT175" s="8"/>
      <c r="AU175" s="8"/>
      <c r="AV175" s="8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:67" ht="15.75" customHeight="1" thickBot="1">
      <c r="A176" s="6"/>
      <c r="B176" s="82"/>
      <c r="C176" s="82"/>
      <c r="D176" s="346"/>
      <c r="E176" s="347"/>
      <c r="F176" s="167"/>
      <c r="G176" s="77"/>
      <c r="H176" s="77"/>
      <c r="I176" s="77"/>
      <c r="J176" s="77"/>
      <c r="K176" s="346"/>
      <c r="L176" s="347"/>
      <c r="M176" s="222"/>
      <c r="N176" s="223"/>
      <c r="O176" s="224"/>
      <c r="P176" s="209"/>
      <c r="Q176" s="210"/>
      <c r="R176" s="211"/>
      <c r="S176" s="8"/>
      <c r="T176" s="8"/>
      <c r="U176" s="8"/>
      <c r="V176" s="8"/>
      <c r="W176" s="8"/>
      <c r="X176" s="8"/>
      <c r="Y176" s="9"/>
      <c r="Z176" s="8"/>
      <c r="AA176" s="8"/>
      <c r="AB176" s="8"/>
      <c r="AC176" s="8"/>
      <c r="AD176" s="8"/>
      <c r="AE176" s="8"/>
      <c r="AF176" s="4"/>
      <c r="AG176" s="4"/>
      <c r="AH176" s="4"/>
      <c r="AI176" s="4"/>
      <c r="AJ176" s="4"/>
      <c r="AK176" s="4"/>
      <c r="AL176" s="4"/>
      <c r="AM176" s="17" t="s">
        <v>1350</v>
      </c>
      <c r="AN176" s="17"/>
      <c r="AO176" s="4"/>
      <c r="AP176" s="4"/>
      <c r="AQ176" s="4"/>
      <c r="AR176" s="4"/>
      <c r="AS176" s="4"/>
      <c r="AT176" s="8"/>
      <c r="AU176" s="8"/>
      <c r="AV176" s="8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:67" ht="15.75" customHeight="1" thickBot="1">
      <c r="A177" s="6"/>
      <c r="B177" s="168"/>
      <c r="C177" s="169"/>
      <c r="D177" s="245"/>
      <c r="E177" s="245"/>
      <c r="F177" s="171"/>
      <c r="G177" s="170"/>
      <c r="H177" s="170"/>
      <c r="I177" s="170"/>
      <c r="J177" s="170"/>
      <c r="K177" s="245"/>
      <c r="L177" s="245"/>
      <c r="M177" s="345"/>
      <c r="N177" s="345"/>
      <c r="O177" s="345"/>
      <c r="P177" s="212"/>
      <c r="Q177" s="212"/>
      <c r="R177" s="213"/>
      <c r="S177" s="8"/>
      <c r="T177" s="8"/>
      <c r="U177" s="8"/>
      <c r="V177" s="8"/>
      <c r="W177" s="8"/>
      <c r="X177" s="8"/>
      <c r="Y177" s="9"/>
      <c r="Z177" s="8"/>
      <c r="AA177" s="8"/>
      <c r="AB177" s="8"/>
      <c r="AC177" s="8"/>
      <c r="AD177" s="8"/>
      <c r="AE177" s="8"/>
      <c r="AF177" s="4"/>
      <c r="AG177" s="4"/>
      <c r="AH177" s="4"/>
      <c r="AI177" s="4"/>
      <c r="AJ177" s="4"/>
      <c r="AK177" s="4"/>
      <c r="AL177" s="4"/>
      <c r="AM177" s="17" t="s">
        <v>1177</v>
      </c>
      <c r="AN177" s="17"/>
      <c r="AO177" s="4"/>
      <c r="AP177" s="4"/>
      <c r="AQ177" s="4"/>
      <c r="AR177" s="4"/>
      <c r="AS177" s="4"/>
      <c r="AT177" s="8"/>
      <c r="AU177" s="8"/>
      <c r="AV177" s="8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:67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8"/>
      <c r="AA178" s="8"/>
      <c r="AB178" s="8"/>
      <c r="AC178" s="8"/>
      <c r="AD178" s="8"/>
      <c r="AE178" s="8"/>
      <c r="AF178" s="4"/>
      <c r="AG178" s="4"/>
      <c r="AH178" s="4"/>
      <c r="AI178" s="4"/>
      <c r="AJ178" s="4"/>
      <c r="AK178" s="4"/>
      <c r="AL178" s="4"/>
      <c r="AM178" s="17" t="s">
        <v>1178</v>
      </c>
      <c r="AN178" s="17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1:67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8"/>
      <c r="AA179" s="8"/>
      <c r="AB179" s="8"/>
      <c r="AC179" s="8"/>
      <c r="AD179" s="8"/>
      <c r="AE179" s="8"/>
      <c r="AF179" s="4"/>
      <c r="AG179" s="4"/>
      <c r="AH179" s="4"/>
      <c r="AI179" s="4"/>
      <c r="AJ179" s="4"/>
      <c r="AK179" s="4"/>
      <c r="AL179" s="4"/>
      <c r="AM179" s="17" t="s">
        <v>1179</v>
      </c>
      <c r="AN179" s="17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:67">
      <c r="A180" s="6"/>
      <c r="B180" s="8" t="s">
        <v>1430</v>
      </c>
      <c r="C180" s="8"/>
      <c r="D180" s="8"/>
      <c r="E180" s="8"/>
      <c r="F180" s="8"/>
      <c r="G180" s="8"/>
      <c r="H180" s="8"/>
      <c r="I180" s="8"/>
      <c r="J180" s="8"/>
      <c r="K180" s="8"/>
      <c r="L180" s="8" t="s">
        <v>33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8"/>
      <c r="AA180" s="8"/>
      <c r="AB180" s="8"/>
      <c r="AC180" s="8"/>
      <c r="AD180" s="8"/>
      <c r="AE180" s="8"/>
      <c r="AF180" s="4"/>
      <c r="AG180" s="4"/>
      <c r="AH180" s="4"/>
      <c r="AI180" s="4"/>
      <c r="AJ180" s="4"/>
      <c r="AK180" s="4"/>
      <c r="AL180" s="4"/>
      <c r="AM180" s="49" t="s">
        <v>1180</v>
      </c>
      <c r="AN180" s="49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:67">
      <c r="A181" s="6"/>
      <c r="B181" s="8" t="s">
        <v>1438</v>
      </c>
      <c r="C181" s="8"/>
      <c r="D181" s="8"/>
      <c r="E181" s="8"/>
      <c r="F181" s="8"/>
      <c r="G181" s="8"/>
      <c r="H181" s="8"/>
      <c r="I181" s="8"/>
      <c r="J181" s="8"/>
      <c r="K181" s="8"/>
      <c r="L181" s="8" t="s">
        <v>4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8"/>
      <c r="AA181" s="8"/>
      <c r="AB181" s="8"/>
      <c r="AC181" s="8"/>
      <c r="AD181" s="8"/>
      <c r="AE181" s="8"/>
      <c r="AF181" s="4"/>
      <c r="AG181" s="4"/>
      <c r="AH181" s="4"/>
      <c r="AI181" s="4"/>
      <c r="AJ181" s="4"/>
      <c r="AK181" s="4"/>
      <c r="AL181" s="4"/>
      <c r="AM181" s="17" t="s">
        <v>1181</v>
      </c>
      <c r="AN181" s="17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:67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8"/>
      <c r="AA182" s="8"/>
      <c r="AB182" s="8"/>
      <c r="AC182" s="8"/>
      <c r="AD182" s="8"/>
      <c r="AE182" s="8"/>
      <c r="AF182" s="4"/>
      <c r="AG182" s="4"/>
      <c r="AH182" s="116"/>
      <c r="AI182" s="116"/>
      <c r="AJ182" s="116"/>
      <c r="AK182" s="4"/>
      <c r="AL182" s="4"/>
      <c r="AM182" s="17" t="s">
        <v>1182</v>
      </c>
      <c r="AN182" s="17" t="s">
        <v>695</v>
      </c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1:67">
      <c r="A183" s="6"/>
      <c r="B183" s="261"/>
      <c r="C183" s="262"/>
      <c r="D183" s="262"/>
      <c r="E183" s="262"/>
      <c r="F183" s="262"/>
      <c r="G183" s="262"/>
      <c r="H183" s="262"/>
      <c r="I183" s="263"/>
      <c r="J183" s="8"/>
      <c r="K183" s="8"/>
      <c r="L183" s="236"/>
      <c r="M183" s="237"/>
      <c r="N183" s="237"/>
      <c r="O183" s="237"/>
      <c r="P183" s="237"/>
      <c r="Q183" s="237"/>
      <c r="R183" s="238"/>
      <c r="S183" s="8"/>
      <c r="T183" s="8"/>
      <c r="U183" s="8"/>
      <c r="V183" s="8"/>
      <c r="W183" s="8"/>
      <c r="X183" s="8"/>
      <c r="Y183" s="9"/>
      <c r="Z183" s="8"/>
      <c r="AA183" s="8"/>
      <c r="AB183" s="8"/>
      <c r="AC183" s="8"/>
      <c r="AD183" s="8"/>
      <c r="AE183" s="8"/>
      <c r="AF183" s="4"/>
      <c r="AG183" s="4"/>
      <c r="AH183" s="116"/>
      <c r="AI183" s="116"/>
      <c r="AJ183" s="116"/>
      <c r="AK183" s="4"/>
      <c r="AL183" s="4"/>
      <c r="AM183" s="17" t="s">
        <v>1183</v>
      </c>
      <c r="AN183" s="17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:67">
      <c r="A184" s="6"/>
      <c r="B184" s="264"/>
      <c r="C184" s="265"/>
      <c r="D184" s="265"/>
      <c r="E184" s="265"/>
      <c r="F184" s="265"/>
      <c r="G184" s="265"/>
      <c r="H184" s="265"/>
      <c r="I184" s="266"/>
      <c r="J184" s="8"/>
      <c r="K184" s="8"/>
      <c r="L184" s="239"/>
      <c r="M184" s="240"/>
      <c r="N184" s="240"/>
      <c r="O184" s="240"/>
      <c r="P184" s="240"/>
      <c r="Q184" s="240"/>
      <c r="R184" s="241"/>
      <c r="S184" s="8"/>
      <c r="T184" s="8"/>
      <c r="U184" s="8"/>
      <c r="V184" s="8"/>
      <c r="W184" s="8"/>
      <c r="X184" s="8"/>
      <c r="Y184" s="9"/>
      <c r="Z184" s="8"/>
      <c r="AA184" s="8"/>
      <c r="AB184" s="8"/>
      <c r="AC184" s="8"/>
      <c r="AD184" s="8"/>
      <c r="AE184" s="8"/>
      <c r="AF184" s="4"/>
      <c r="AG184" s="4"/>
      <c r="AH184" s="4"/>
      <c r="AI184" s="4"/>
      <c r="AJ184" s="4"/>
      <c r="AK184" s="116"/>
      <c r="AL184" s="116"/>
      <c r="AM184" s="17" t="s">
        <v>1184</v>
      </c>
      <c r="AN184" s="17" t="s">
        <v>696</v>
      </c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:67">
      <c r="A185" s="6"/>
      <c r="B185" s="264"/>
      <c r="C185" s="265"/>
      <c r="D185" s="265"/>
      <c r="E185" s="265"/>
      <c r="F185" s="265"/>
      <c r="G185" s="265"/>
      <c r="H185" s="265"/>
      <c r="I185" s="266"/>
      <c r="J185" s="8"/>
      <c r="K185" s="8"/>
      <c r="L185" s="239"/>
      <c r="M185" s="240"/>
      <c r="N185" s="240"/>
      <c r="O185" s="240"/>
      <c r="P185" s="240"/>
      <c r="Q185" s="240"/>
      <c r="R185" s="241"/>
      <c r="S185" s="8"/>
      <c r="T185" s="8"/>
      <c r="U185" s="8"/>
      <c r="V185" s="8"/>
      <c r="W185" s="8"/>
      <c r="X185" s="8"/>
      <c r="Y185" s="9"/>
      <c r="Z185" s="8"/>
      <c r="AA185" s="8"/>
      <c r="AB185" s="8"/>
      <c r="AC185" s="8"/>
      <c r="AD185" s="8"/>
      <c r="AE185" s="8"/>
      <c r="AF185" s="4"/>
      <c r="AG185" s="4"/>
      <c r="AH185" s="4"/>
      <c r="AI185" s="4"/>
      <c r="AJ185" s="4"/>
      <c r="AK185" s="116"/>
      <c r="AL185" s="116"/>
      <c r="AM185" s="17" t="s">
        <v>1185</v>
      </c>
      <c r="AN185" s="17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:67">
      <c r="A186" s="6"/>
      <c r="B186" s="264"/>
      <c r="C186" s="265"/>
      <c r="D186" s="265"/>
      <c r="E186" s="265"/>
      <c r="F186" s="265"/>
      <c r="G186" s="265"/>
      <c r="H186" s="265"/>
      <c r="I186" s="266"/>
      <c r="J186" s="8"/>
      <c r="K186" s="8"/>
      <c r="L186" s="239"/>
      <c r="M186" s="240"/>
      <c r="N186" s="240"/>
      <c r="O186" s="240"/>
      <c r="P186" s="240"/>
      <c r="Q186" s="240"/>
      <c r="R186" s="241"/>
      <c r="S186" s="8"/>
      <c r="T186" s="8"/>
      <c r="U186" s="8"/>
      <c r="V186" s="8"/>
      <c r="W186" s="8"/>
      <c r="X186" s="8"/>
      <c r="Y186" s="9"/>
      <c r="Z186" s="8"/>
      <c r="AA186" s="8"/>
      <c r="AB186" s="8"/>
      <c r="AC186" s="8"/>
      <c r="AD186" s="8"/>
      <c r="AE186" s="8"/>
      <c r="AF186" s="4"/>
      <c r="AG186" s="4"/>
      <c r="AH186" s="4"/>
      <c r="AI186" s="4"/>
      <c r="AJ186" s="4"/>
      <c r="AK186" s="4"/>
      <c r="AL186" s="4"/>
      <c r="AM186" s="17" t="s">
        <v>1186</v>
      </c>
      <c r="AN186" s="17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:67">
      <c r="A187" s="6"/>
      <c r="B187" s="267"/>
      <c r="C187" s="268"/>
      <c r="D187" s="268"/>
      <c r="E187" s="268"/>
      <c r="F187" s="268"/>
      <c r="G187" s="268"/>
      <c r="H187" s="268"/>
      <c r="I187" s="269"/>
      <c r="J187" s="8"/>
      <c r="K187" s="8"/>
      <c r="L187" s="242"/>
      <c r="M187" s="243"/>
      <c r="N187" s="243"/>
      <c r="O187" s="243"/>
      <c r="P187" s="243"/>
      <c r="Q187" s="243"/>
      <c r="R187" s="244"/>
      <c r="S187" s="8"/>
      <c r="T187" s="8"/>
      <c r="U187" s="8"/>
      <c r="V187" s="8"/>
      <c r="W187" s="8"/>
      <c r="X187" s="8"/>
      <c r="Y187" s="54"/>
      <c r="Z187" s="8"/>
      <c r="AA187" s="8"/>
      <c r="AB187" s="8"/>
      <c r="AC187" s="8"/>
      <c r="AD187" s="8"/>
      <c r="AE187" s="8"/>
      <c r="AF187" s="4"/>
      <c r="AG187" s="4"/>
      <c r="AH187" s="4"/>
      <c r="AI187" s="4"/>
      <c r="AJ187" s="4"/>
      <c r="AK187" s="4"/>
      <c r="AL187" s="4"/>
      <c r="AM187" s="17" t="s">
        <v>1187</v>
      </c>
      <c r="AN187" s="17" t="s">
        <v>697</v>
      </c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1:67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54"/>
      <c r="Z188" s="8"/>
      <c r="AA188" s="8"/>
      <c r="AB188" s="8"/>
      <c r="AC188" s="8"/>
      <c r="AD188" s="8"/>
      <c r="AE188" s="8"/>
      <c r="AF188" s="4"/>
      <c r="AG188" s="4"/>
      <c r="AH188" s="4"/>
      <c r="AI188" s="4"/>
      <c r="AJ188" s="4"/>
      <c r="AK188" s="4"/>
      <c r="AL188" s="4"/>
      <c r="AM188" s="17" t="s">
        <v>1188</v>
      </c>
      <c r="AN188" s="17" t="s">
        <v>698</v>
      </c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:67">
      <c r="A189" s="6"/>
      <c r="B189" s="8"/>
      <c r="C189" s="8"/>
      <c r="D189" s="8"/>
      <c r="E189" s="166" t="s">
        <v>836</v>
      </c>
      <c r="F189" s="166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54"/>
      <c r="Z189" s="8"/>
      <c r="AA189" s="8"/>
      <c r="AB189" s="8"/>
      <c r="AC189" s="8"/>
      <c r="AD189" s="8"/>
      <c r="AE189" s="8"/>
      <c r="AF189" s="4"/>
      <c r="AG189" s="4"/>
      <c r="AH189" s="4"/>
      <c r="AI189" s="4"/>
      <c r="AJ189" s="4"/>
      <c r="AK189" s="4"/>
      <c r="AL189" s="4"/>
      <c r="AM189" s="17" t="s">
        <v>1189</v>
      </c>
      <c r="AN189" s="17" t="s">
        <v>699</v>
      </c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1:67">
      <c r="A190" s="6"/>
      <c r="B190" s="8"/>
      <c r="C190" s="8"/>
      <c r="D190" s="8"/>
      <c r="E190" s="90" t="str">
        <f t="shared" ref="E190:E197" si="5">IF(F190="","","This fields are empty:")</f>
        <v>This fields are empty:</v>
      </c>
      <c r="F190" s="91" t="str">
        <f>IF(H8="*","Rank; ","") &amp;  IF(H9="*","Surname; ","")  &amp;  IF(H10="*","First Name; ","")  &amp;  IF(H11="*","Otchestvo/Other Name; ","") &amp;  IF(J12="*","DOB; ","")  &amp;  IF(K13="*","Place of Berth; ","")  &amp;  IF(G15="*","Country; ", "") &amp;   IF(H16="*","City; ","")  &amp;  IF(K17="*","Street, House - Flat; ","")  &amp;  IF(E20="*","Phone; ","")  &amp;  IF(P19="*"," E-Mail; ","") &amp;  IF(O15="*","Minimum Desared salary; ","") &amp;  IF(O16="*"," Desared salary; ","")  &amp;  IF(I86="*","Next of Keen; ","")  &amp;  IF(I86="None","Next of Keen; ","")</f>
        <v xml:space="preserve">Surname; First Name; Otchestvo/Other Name; DOB; Place of Berth; Country; City; Phone;  E-Mail; Minimum Desared salary;  Desared salary; Next of Keen; 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54"/>
      <c r="Z190" s="8"/>
      <c r="AA190" s="8"/>
      <c r="AB190" s="8"/>
      <c r="AC190" s="8"/>
      <c r="AD190" s="8"/>
      <c r="AE190" s="8"/>
      <c r="AF190" s="4"/>
      <c r="AG190" s="4"/>
      <c r="AH190" s="4"/>
      <c r="AI190" s="4"/>
      <c r="AJ190" s="4"/>
      <c r="AK190" s="4"/>
      <c r="AL190" s="4"/>
      <c r="AM190" s="17" t="s">
        <v>1190</v>
      </c>
      <c r="AN190" s="17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1:67">
      <c r="A191" s="6"/>
      <c r="B191" s="8"/>
      <c r="C191" s="8"/>
      <c r="D191" s="8"/>
      <c r="E191" s="90" t="str">
        <f t="shared" si="5"/>
        <v>This fields are empty:</v>
      </c>
      <c r="F191" s="91" t="str">
        <f>IF(G21="*","SEX; ","") &amp;  IF(G22="*","Nationality; ","")  &amp;  IF(G23="*","Marital Status; ","")  &amp;  IF(G24="*","Religion; ","") &amp;  IF(K22="*","Citizenship; ","")  &amp;  IF(K25="*","Education; ","")  &amp;  IF(G29="*","Weight; ", "") &amp;   IF(G30="*","Height; ","")  &amp;  IF(G31="*","Clothes Size (Boiler Suite); ","")  &amp;  IF(G32="*","Shoes Size; ","")  &amp;  IF(G33="*","Head Size; ","") &amp;  IF(J29="*"," Hair's Color ; ","") &amp;  IF(J30="*","Eyes Color; ","") &amp;  IF(J31="*"," Skin's Color ; ","")  &amp;  IF(J35="*"," English test lewel ; ","")</f>
        <v xml:space="preserve">SEX; Nationality; Marital Status; Religion; Citizenship; Education; Weight; Height; Clothes Size (Boiler Suite); Shoes Size; Head Size; 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54"/>
      <c r="Z191" s="8"/>
      <c r="AA191" s="8"/>
      <c r="AB191" s="8"/>
      <c r="AC191" s="8"/>
      <c r="AD191" s="8"/>
      <c r="AE191" s="8"/>
      <c r="AF191" s="4"/>
      <c r="AG191" s="4"/>
      <c r="AH191" s="4"/>
      <c r="AI191" s="4"/>
      <c r="AJ191" s="4"/>
      <c r="AK191" s="4"/>
      <c r="AL191" s="4"/>
      <c r="AM191" s="17" t="s">
        <v>1191</v>
      </c>
      <c r="AN191" s="17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1:67">
      <c r="A192" s="6"/>
      <c r="B192" s="8"/>
      <c r="C192" s="8"/>
      <c r="D192" s="8"/>
      <c r="E192" s="90" t="str">
        <f t="shared" si="5"/>
        <v>This fields are empty:</v>
      </c>
      <c r="F192" s="91" t="str">
        <f>IF(R93="*","Seaman's Passport; ","")  &amp;  IF(R94="*","Seaman's Book; ","") &amp;  IF(R95="*","Civil Passport; ","")  &amp;  IF(R96="*","Tourist's Passport; ","")</f>
        <v xml:space="preserve">Seaman's Passport; Seaman's Book; Civil Passport; Tourist's Passport; 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54"/>
      <c r="Z192" s="8"/>
      <c r="AA192" s="8"/>
      <c r="AB192" s="8"/>
      <c r="AC192" s="8"/>
      <c r="AD192" s="8"/>
      <c r="AE192" s="8"/>
      <c r="AF192" s="4"/>
      <c r="AG192" s="4"/>
      <c r="AH192" s="4"/>
      <c r="AI192" s="4"/>
      <c r="AJ192" s="4"/>
      <c r="AK192" s="4"/>
      <c r="AL192" s="4"/>
      <c r="AM192" s="17" t="s">
        <v>1192</v>
      </c>
      <c r="AN192" s="17" t="s">
        <v>700</v>
      </c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:67">
      <c r="A193" s="6"/>
      <c r="B193" s="8"/>
      <c r="C193" s="8"/>
      <c r="D193" s="8"/>
      <c r="E193" s="90" t="str">
        <f t="shared" si="5"/>
        <v>This fields are empty:</v>
      </c>
      <c r="F193" s="124" t="str">
        <f>IF(Y101="*","Licence for Rank; ", "") &amp;   IF(Y102="*","Endorsement; ","")  &amp;  IF(Y103="*"," Additional Licence 1; ","")  &amp;  IF(Y104="*","Endorsement 1; ","")  &amp;  IF(Y105="*","Additional Licance 2; ","") &amp;  IF(Y106="*"," Endorsement 2; ","")</f>
        <v xml:space="preserve">Licence for Rank; Endorsement;  Additional Licence 1; Endorsement 1; Additional Licance 2;  Endorsement 2; 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54"/>
      <c r="Z193" s="8"/>
      <c r="AA193" s="8"/>
      <c r="AB193" s="8"/>
      <c r="AC193" s="8"/>
      <c r="AD193" s="8"/>
      <c r="AE193" s="8"/>
      <c r="AF193" s="4"/>
      <c r="AG193" s="4"/>
      <c r="AH193" s="4"/>
      <c r="AI193" s="4"/>
      <c r="AJ193" s="4"/>
      <c r="AK193" s="4"/>
      <c r="AL193" s="4"/>
      <c r="AM193" s="17" t="s">
        <v>1193</v>
      </c>
      <c r="AN193" s="17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:67">
      <c r="A194" s="6"/>
      <c r="B194" s="8"/>
      <c r="C194" s="8"/>
      <c r="D194" s="8"/>
      <c r="E194" s="90" t="str">
        <f t="shared" si="5"/>
        <v>This fields are empty:</v>
      </c>
      <c r="F194" s="8" t="str">
        <f>IF(T110="*","Radar Observer &amp; Plotting; ", "")  &amp;   IF(T111="*","ARPA / SARP; ","")  &amp;   IF(T112="*","SSO / ISPS Code; ","") &amp;   IF(T113="*","ISM Code Training; ","") &amp;  IF(T124="*","Basic Survival; ","")  &amp;  IF(T125="*"," Survival Craft; ","") &amp;  IF(T126="*"," Advanced Fire Fighting; ","")&amp;   IF(T127="*"," Medical First Aid; ","") &amp;  IF(T128="*","Medical Care; ","")  &amp;  IF(T129="*"," Oil/Chem/Gas Familiarization; ","") &amp;  IF(T130="*"," Oil Tanker Advanced; ","")</f>
        <v xml:space="preserve">Radar Observer &amp; Plotting; ARPA / SARP; SSO / ISPS Code; ISM Code Training; Basic Survival;  Survival Craft;  Advanced Fire Fighting;  Medical First Aid; Medical Care;  Oil/Chem/Gas Familiarization;  Oil Tanker Advanced; 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54"/>
      <c r="Z194" s="8"/>
      <c r="AA194" s="8"/>
      <c r="AB194" s="8"/>
      <c r="AC194" s="8"/>
      <c r="AD194" s="8"/>
      <c r="AE194" s="8"/>
      <c r="AF194" s="4"/>
      <c r="AG194" s="4"/>
      <c r="AH194" s="4"/>
      <c r="AI194" s="4"/>
      <c r="AJ194" s="4"/>
      <c r="AK194" s="4"/>
      <c r="AL194" s="4"/>
      <c r="AM194" s="17" t="s">
        <v>1194</v>
      </c>
      <c r="AN194" s="17" t="s">
        <v>701</v>
      </c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:67">
      <c r="A195" s="6"/>
      <c r="B195" s="8"/>
      <c r="C195" s="8"/>
      <c r="D195" s="8"/>
      <c r="E195" s="90" t="str">
        <f t="shared" si="5"/>
        <v>This fields are empty:</v>
      </c>
      <c r="F195" s="8" t="str">
        <f>IF(T131="*","COW / Inert Gas; ", "")  &amp;   IF(T132="*","Chem Tank Advanced; ","")  &amp;   IF(T133="*"," Gas Tanker Advanced; ","") &amp;   IF(T134="*"," HAZMAT STCW; ","") &amp;  IF(T135="*"," HAZMAT USA Sert 1; ","")  &amp;  IF(T136="*"," HAZMAT USA Sert 2; ","") &amp;  IF(T137="*"," Fast Rescue Boats; ","")&amp;   IF(T138="*"," BTM; ","") &amp;  IF(T139="*"," Ship Handling; ","")  &amp;  IF(T140="*"," ECDIS; ","") &amp;  IF(T141="*"," Large Ship Handling; ","")</f>
        <v xml:space="preserve">COW / Inert Gas; Chem Tank Advanced;  Gas Tanker Advanced;  HAZMAT STCW;  HAZMAT USA Sert 1;  HAZMAT USA Sert 2;  Fast Rescue Boats;  BTM;  Ship Handling;  ECDIS;  Large Ship Handling; 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54"/>
      <c r="Z195" s="8"/>
      <c r="AA195" s="8"/>
      <c r="AB195" s="8"/>
      <c r="AC195" s="8"/>
      <c r="AD195" s="8"/>
      <c r="AE195" s="8"/>
      <c r="AF195" s="4"/>
      <c r="AG195" s="4"/>
      <c r="AH195" s="4"/>
      <c r="AI195" s="4"/>
      <c r="AJ195" s="4"/>
      <c r="AK195" s="4"/>
      <c r="AL195" s="4"/>
      <c r="AM195" s="17" t="s">
        <v>1195</v>
      </c>
      <c r="AN195" s="17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:67">
      <c r="A196" s="6"/>
      <c r="B196" s="8"/>
      <c r="C196" s="8"/>
      <c r="D196" s="8"/>
      <c r="E196" s="90" t="str">
        <f t="shared" si="5"/>
        <v>This fields are empty:</v>
      </c>
      <c r="F196" s="8" t="str">
        <f>IF(T142="*","Pasenger Ship Familiarization; ", "")  &amp;   IF(T143="*","Pass Ship Crowd; ","")  &amp;   IF(T144="*"," Pass Ship Crisis; ","") &amp; IF(T145="*"," Pass Cargo Safety, Hull Integrity; ","") &amp; IF(T146="*"," Pass Safety; ","") &amp; IF(T147="*"," USA Visa; ","") &amp; IF(T148="*"," Schengen Visa; ","") &amp;  IF(T149="*"," Engich Test; ","") &amp; IF(T150="*"," Yellow Fever Vaccination; ","") &amp; IF(T151="*"," Diphteria Vaccination; ","") &amp; IF(T152="*"," Cholera Vaccination; ","")</f>
        <v xml:space="preserve">Pasenger Ship Familiarization; Pass Ship Crowd;  Pass Ship Crisis;  Pass Cargo Safety, Hull Integrity;  Pass Safety;  USA Visa;  Schengen Visa;  Engich Test;  Yellow Fever Vaccination;  Diphteria Vaccination;  Cholera Vaccination; 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54"/>
      <c r="Z196" s="8"/>
      <c r="AA196" s="8"/>
      <c r="AB196" s="8"/>
      <c r="AC196" s="8"/>
      <c r="AD196" s="8"/>
      <c r="AE196" s="8"/>
      <c r="AF196" s="4"/>
      <c r="AG196" s="4"/>
      <c r="AH196" s="4"/>
      <c r="AI196" s="4"/>
      <c r="AJ196" s="4"/>
      <c r="AK196" s="4"/>
      <c r="AL196" s="4"/>
      <c r="AM196" s="17" t="s">
        <v>1196</v>
      </c>
      <c r="AN196" s="17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1:67">
      <c r="A197" s="6"/>
      <c r="B197" s="8"/>
      <c r="C197" s="8"/>
      <c r="D197" s="8"/>
      <c r="E197" s="90" t="str">
        <f t="shared" si="5"/>
        <v>This fields are empty:</v>
      </c>
      <c r="F197" s="8" t="str">
        <f>IF(T153="*","Last Darug Alcohol Test; ", "") &amp; IF(T154="*","Vaccination Book; ","") &amp; IF(T155="*","Last Medical Sertificate; ","") &amp; IF(T156="*","Last VICH Test; ","")</f>
        <v xml:space="preserve">Last Darug Alcohol Test; Vaccination Book; Last Medical Sertificate; Last VICH Test; 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54"/>
      <c r="Z197" s="8"/>
      <c r="AA197" s="8"/>
      <c r="AB197" s="8"/>
      <c r="AC197" s="8"/>
      <c r="AD197" s="8"/>
      <c r="AE197" s="8"/>
      <c r="AF197" s="4"/>
      <c r="AG197" s="4"/>
      <c r="AH197" s="4"/>
      <c r="AI197" s="4"/>
      <c r="AJ197" s="4"/>
      <c r="AK197" s="4"/>
      <c r="AL197" s="4"/>
      <c r="AM197" s="17" t="s">
        <v>1197</v>
      </c>
      <c r="AN197" s="17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1:67">
      <c r="A198" s="6"/>
      <c r="B198" s="115"/>
      <c r="C198" s="115"/>
      <c r="D198" s="115"/>
      <c r="E198" s="90" t="str">
        <f>IF(F198="","","This fields for Endorsements are empty:")</f>
        <v>This fields for Endorsements are empty:</v>
      </c>
      <c r="F198" s="8" t="str">
        <f>IF(T119="*","Marshall Endorsement; ", "")  &amp; IF(T120="*","Malta; ","") &amp; IF(T121="*","Antigua&amp;Barbuda; ","") &amp; IF(T122="*","Bahamas; ","") &amp; IF(T123="*"," Norway; ","") &amp; IF(T114="*"," Cyprus Endorsement; ","") &amp; IF(T115="*","St. Vincent Endorsement; ","") &amp; IF(T116="*","Liberia Endorsement; ","") &amp; IF(T117="*"," Panama Endorsement ; ","")</f>
        <v xml:space="preserve">Marshall Endorsement; Malta; Antigua&amp;Barbuda; Bahamas;  Norway;  Cyprus Endorsement; St. Vincent Endorsement; Liberia Endorsement;  Panama Endorsement ; </v>
      </c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8"/>
      <c r="S198" s="8"/>
      <c r="T198" s="8"/>
      <c r="U198" s="8"/>
      <c r="V198" s="8"/>
      <c r="W198" s="8"/>
      <c r="X198" s="8"/>
      <c r="Y198" s="54"/>
      <c r="Z198" s="8"/>
      <c r="AA198" s="8"/>
      <c r="AB198" s="8"/>
      <c r="AC198" s="8"/>
      <c r="AD198" s="8"/>
      <c r="AE198" s="8"/>
      <c r="AF198" s="4"/>
      <c r="AG198" s="4"/>
      <c r="AH198" s="4"/>
      <c r="AI198" s="4"/>
      <c r="AJ198" s="4"/>
      <c r="AK198" s="4"/>
      <c r="AL198" s="4"/>
      <c r="AM198" s="17" t="s">
        <v>1198</v>
      </c>
      <c r="AN198" s="17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116"/>
      <c r="BJ198" s="4"/>
      <c r="BK198" s="4"/>
      <c r="BL198" s="4"/>
      <c r="BM198" s="4"/>
      <c r="BN198" s="4"/>
      <c r="BO198" s="4"/>
    </row>
    <row r="199" spans="1:67" ht="14" thickBot="1">
      <c r="A199" s="118"/>
      <c r="B199" s="119"/>
      <c r="C199" s="119"/>
      <c r="D199" s="119"/>
      <c r="E199" s="141" t="str">
        <f>IF(F199="","","Если Вы говорите по-русски Вы не заполнили поля:")</f>
        <v>Если Вы говорите по-русски Вы не заполнили поля:</v>
      </c>
      <c r="F199" s="142" t="str">
        <f>IF(H39="*","Фамилия; ","") &amp;  IF(H40="*","Имя; ","")  &amp;  IF(H41="*","Отчество; ","")  &amp;  IF(M41="*","Место рождения по паспорту моряка; ","") &amp;  IF(H44="*","Прописка: Город ; ","")  &amp;  IF(L45="*","Прописка: Улица, дом, квартира ; ","")  &amp;  IF(L47="*","Рабочий Диплом место и дата выдачи; ", "") &amp;   IF(L49="*","Должность и место работы в настоящее время ; ","")  &amp;  IF(L51="*"," Образование какое и когда закончили; ","")  &amp;  IF(K54="*","Лицо Рекомендующее Вас; ","")  &amp;  IF(K55="*","ФИО Кто Вас Рекомендует; ","") &amp;  IF(I57="*"," Телефон Кто Вас Рекомендует ; ","")</f>
        <v xml:space="preserve">Фамилия; Имя; Отчество; Место рождения по паспорту моряка; Прописка: Город ; Прописка: Улица, дом, квартира ; Рабочий Диплом место и дата выдачи; Должность и место работы в настоящее время ;  Образование какое и когда закончили; ФИО Кто Вас Рекомендует;  Телефон Кто Вас Рекомендует ; </v>
      </c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20"/>
      <c r="W199" s="120"/>
      <c r="X199" s="120"/>
      <c r="Y199" s="121"/>
      <c r="Z199" s="8"/>
      <c r="AA199" s="8"/>
      <c r="AB199" s="8"/>
      <c r="AC199" s="8"/>
      <c r="AD199" s="8"/>
      <c r="AE199" s="8"/>
      <c r="AF199" s="4"/>
      <c r="AG199" s="4"/>
      <c r="AH199" s="4"/>
      <c r="AI199" s="4"/>
      <c r="AJ199" s="4"/>
      <c r="AK199" s="4"/>
      <c r="AL199" s="4"/>
      <c r="AM199" s="17" t="s">
        <v>1199</v>
      </c>
      <c r="AN199" s="17" t="s">
        <v>702</v>
      </c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116"/>
      <c r="BH199" s="116"/>
      <c r="BI199" s="116"/>
      <c r="BJ199" s="4"/>
      <c r="BK199" s="4"/>
      <c r="BL199" s="4"/>
      <c r="BM199" s="4"/>
      <c r="BN199" s="4"/>
      <c r="BO199" s="4"/>
    </row>
    <row r="200" spans="1:67" ht="14" thickTop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8"/>
      <c r="AA200" s="8"/>
      <c r="AB200" s="8"/>
      <c r="AC200" s="8"/>
      <c r="AD200" s="8"/>
      <c r="AE200" s="8"/>
      <c r="AF200" s="4"/>
      <c r="AG200" s="4"/>
      <c r="AH200" s="4"/>
      <c r="AI200" s="4"/>
      <c r="AJ200" s="4"/>
      <c r="AK200" s="4"/>
      <c r="AL200" s="4"/>
      <c r="AM200" s="17" t="s">
        <v>1200</v>
      </c>
      <c r="AN200" s="17" t="s">
        <v>703</v>
      </c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116"/>
      <c r="BF200" s="4"/>
      <c r="BG200" s="116"/>
      <c r="BH200" s="116"/>
      <c r="BI200" s="4"/>
      <c r="BJ200" s="4"/>
      <c r="BK200" s="4"/>
      <c r="BL200" s="4"/>
      <c r="BM200" s="4"/>
      <c r="BN200" s="4"/>
      <c r="BO200" s="4"/>
    </row>
    <row r="201" spans="1:67" ht="16">
      <c r="A201" s="4"/>
      <c r="B201" s="4"/>
      <c r="C201" s="4"/>
      <c r="D201" s="370" t="s">
        <v>1443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8"/>
      <c r="AA201" s="8"/>
      <c r="AB201" s="8"/>
      <c r="AC201" s="8"/>
      <c r="AD201" s="8"/>
      <c r="AE201" s="8"/>
      <c r="AF201" s="4"/>
      <c r="AG201" s="4"/>
      <c r="AH201" s="4"/>
      <c r="AI201" s="4"/>
      <c r="AJ201" s="4"/>
      <c r="AK201" s="4"/>
      <c r="AL201" s="4"/>
      <c r="AM201" s="17" t="s">
        <v>1201</v>
      </c>
      <c r="AN201" s="17" t="s">
        <v>704</v>
      </c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116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:67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8"/>
      <c r="AA202" s="8"/>
      <c r="AB202" s="8"/>
      <c r="AC202" s="8"/>
      <c r="AD202" s="8"/>
      <c r="AE202" s="8"/>
      <c r="AF202" s="4"/>
      <c r="AG202" s="4"/>
      <c r="AH202" s="4"/>
      <c r="AI202" s="4"/>
      <c r="AJ202" s="4"/>
      <c r="AK202" s="4"/>
      <c r="AL202" s="4"/>
      <c r="AM202" s="17" t="s">
        <v>1202</v>
      </c>
      <c r="AN202" s="17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1:67" s="117" customForma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115"/>
      <c r="AA203" s="115"/>
      <c r="AB203" s="115"/>
      <c r="AC203" s="115"/>
      <c r="AD203" s="115"/>
      <c r="AE203" s="115"/>
      <c r="AF203" s="116"/>
      <c r="AG203" s="116"/>
      <c r="AH203" s="8"/>
      <c r="AI203" s="8"/>
      <c r="AJ203" s="8"/>
      <c r="AK203" s="4"/>
      <c r="AL203" s="4"/>
      <c r="AM203" s="17" t="s">
        <v>1203</v>
      </c>
      <c r="AN203" s="17" t="s">
        <v>705</v>
      </c>
      <c r="AO203" s="116"/>
      <c r="AP203" s="116"/>
      <c r="AQ203" s="116"/>
      <c r="AR203" s="116"/>
      <c r="AS203" s="116"/>
      <c r="AT203" s="116"/>
      <c r="AU203" s="116"/>
      <c r="AV203" s="116"/>
      <c r="AW203" s="4"/>
      <c r="AX203" s="4"/>
      <c r="AY203" s="4"/>
      <c r="AZ203" s="116"/>
      <c r="BA203" s="4"/>
      <c r="BB203" s="116"/>
      <c r="BC203" s="116"/>
      <c r="BD203" s="4"/>
      <c r="BE203" s="4"/>
      <c r="BF203" s="4"/>
      <c r="BG203" s="4"/>
      <c r="BH203" s="4"/>
      <c r="BI203" s="4"/>
      <c r="BJ203" s="116"/>
      <c r="BK203" s="116"/>
      <c r="BL203" s="116"/>
      <c r="BM203" s="116"/>
      <c r="BN203" s="116"/>
      <c r="BO203" s="116"/>
    </row>
    <row r="204" spans="1:67" s="117" customForma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115"/>
      <c r="AA204" s="115"/>
      <c r="AB204" s="115"/>
      <c r="AC204" s="115"/>
      <c r="AD204" s="115"/>
      <c r="AE204" s="115"/>
      <c r="AF204" s="116"/>
      <c r="AG204" s="116"/>
      <c r="AH204" s="8"/>
      <c r="AI204" s="8"/>
      <c r="AJ204" s="8"/>
      <c r="AK204" s="4"/>
      <c r="AL204" s="4"/>
      <c r="AM204" s="17" t="s">
        <v>1204</v>
      </c>
      <c r="AN204" s="17"/>
      <c r="AO204" s="116"/>
      <c r="AP204" s="116"/>
      <c r="AQ204" s="116"/>
      <c r="AR204" s="116"/>
      <c r="AS204" s="116"/>
      <c r="AT204" s="116"/>
      <c r="AU204" s="116"/>
      <c r="AV204" s="116"/>
      <c r="AW204" s="4"/>
      <c r="AX204" s="4"/>
      <c r="AY204" s="4"/>
      <c r="AZ204" s="116"/>
      <c r="BA204" s="4"/>
      <c r="BB204" s="116"/>
      <c r="BC204" s="116"/>
      <c r="BD204" s="4"/>
      <c r="BE204" s="4"/>
      <c r="BF204" s="116"/>
      <c r="BG204" s="4"/>
      <c r="BH204" s="4"/>
      <c r="BI204" s="4"/>
      <c r="BJ204" s="116"/>
      <c r="BK204" s="116"/>
      <c r="BL204" s="116"/>
      <c r="BM204" s="116"/>
      <c r="BN204" s="116"/>
      <c r="BO204" s="116"/>
    </row>
    <row r="205" spans="1:67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8"/>
      <c r="AI205" s="8"/>
      <c r="AJ205" s="8"/>
      <c r="AK205" s="4"/>
      <c r="AL205" s="4"/>
      <c r="AM205" s="17" t="s">
        <v>1205</v>
      </c>
      <c r="AN205" s="17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116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1:67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8"/>
      <c r="AI206" s="8"/>
      <c r="AJ206" s="8"/>
      <c r="AK206" s="4"/>
      <c r="AL206" s="4"/>
      <c r="AM206" s="17" t="s">
        <v>1206</v>
      </c>
      <c r="AN206" s="17" t="s">
        <v>706</v>
      </c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1:6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8"/>
      <c r="AI207" s="8"/>
      <c r="AJ207" s="8"/>
      <c r="AK207" s="4"/>
      <c r="AL207" s="4"/>
      <c r="AM207" s="17" t="s">
        <v>1207</v>
      </c>
      <c r="AN207" s="17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:67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8"/>
      <c r="AI208" s="8"/>
      <c r="AJ208" s="8"/>
      <c r="AK208" s="4"/>
      <c r="AL208" s="4"/>
      <c r="AM208" s="17" t="s">
        <v>1208</v>
      </c>
      <c r="AN208" s="17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1:67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8"/>
      <c r="AI209" s="8"/>
      <c r="AJ209" s="8"/>
      <c r="AK209" s="4"/>
      <c r="AL209" s="4"/>
      <c r="AM209" s="17" t="s">
        <v>1209</v>
      </c>
      <c r="AN209" s="17" t="s">
        <v>708</v>
      </c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:67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8"/>
      <c r="AI210" s="8"/>
      <c r="AJ210" s="8"/>
      <c r="AK210" s="4"/>
      <c r="AL210" s="4"/>
      <c r="AM210" s="17" t="s">
        <v>1210</v>
      </c>
      <c r="AN210" s="17" t="s">
        <v>709</v>
      </c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1:67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8"/>
      <c r="AI211" s="8"/>
      <c r="AJ211" s="8"/>
      <c r="AK211" s="4"/>
      <c r="AL211" s="4"/>
      <c r="AM211" s="17" t="s">
        <v>1211</v>
      </c>
      <c r="AN211" s="17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1:67">
      <c r="AH212" s="172"/>
      <c r="AI212" s="172"/>
      <c r="AJ212" s="172"/>
      <c r="AM212" s="17" t="s">
        <v>1212</v>
      </c>
      <c r="AN212" s="17"/>
      <c r="BA212" s="117"/>
    </row>
    <row r="213" spans="1:67">
      <c r="AH213" s="172"/>
      <c r="AI213" s="172"/>
      <c r="AJ213" s="172"/>
      <c r="AM213" s="17" t="s">
        <v>1213</v>
      </c>
      <c r="AN213" s="17"/>
      <c r="BA213" s="117"/>
    </row>
    <row r="214" spans="1:67">
      <c r="AH214" s="172"/>
      <c r="AI214" s="172"/>
      <c r="AJ214" s="172"/>
      <c r="AM214" s="17" t="s">
        <v>1214</v>
      </c>
      <c r="AN214" s="17"/>
    </row>
    <row r="215" spans="1:67">
      <c r="AH215" s="172"/>
      <c r="AI215" s="172"/>
      <c r="AJ215" s="172"/>
      <c r="AM215" s="173" t="s">
        <v>1215</v>
      </c>
      <c r="AN215" s="173" t="s">
        <v>710</v>
      </c>
    </row>
    <row r="216" spans="1:67">
      <c r="AM216" s="173" t="s">
        <v>1216</v>
      </c>
      <c r="AN216" s="173" t="s">
        <v>711</v>
      </c>
    </row>
    <row r="217" spans="1:67">
      <c r="AM217" s="173" t="s">
        <v>1217</v>
      </c>
      <c r="AN217" s="173" t="s">
        <v>712</v>
      </c>
    </row>
    <row r="218" spans="1:67">
      <c r="AM218" s="173" t="s">
        <v>858</v>
      </c>
      <c r="AN218" s="173"/>
      <c r="BD218" s="117"/>
    </row>
    <row r="219" spans="1:67">
      <c r="AM219" s="173" t="s">
        <v>1218</v>
      </c>
      <c r="AN219" s="173" t="s">
        <v>713</v>
      </c>
      <c r="BD219" s="117"/>
    </row>
    <row r="220" spans="1:67">
      <c r="AM220" s="173" t="s">
        <v>1219</v>
      </c>
      <c r="AN220" s="173" t="s">
        <v>714</v>
      </c>
    </row>
    <row r="221" spans="1:67">
      <c r="AM221" s="173" t="s">
        <v>1220</v>
      </c>
      <c r="AN221" s="173" t="s">
        <v>715</v>
      </c>
    </row>
    <row r="222" spans="1:67">
      <c r="AM222" s="173" t="s">
        <v>1221</v>
      </c>
      <c r="AN222" s="173"/>
    </row>
    <row r="223" spans="1:67">
      <c r="AM223" s="173" t="s">
        <v>1222</v>
      </c>
      <c r="AN223" s="173" t="s">
        <v>716</v>
      </c>
    </row>
    <row r="224" spans="1:67">
      <c r="AM224" s="173" t="s">
        <v>1223</v>
      </c>
      <c r="AN224" s="173" t="s">
        <v>717</v>
      </c>
    </row>
    <row r="225" spans="39:40">
      <c r="AM225" s="173" t="s">
        <v>1018</v>
      </c>
      <c r="AN225" s="173"/>
    </row>
    <row r="226" spans="39:40">
      <c r="AM226" s="173" t="s">
        <v>1224</v>
      </c>
      <c r="AN226" s="173"/>
    </row>
    <row r="227" spans="39:40">
      <c r="AM227" s="173" t="s">
        <v>1225</v>
      </c>
      <c r="AN227" s="173" t="s">
        <v>718</v>
      </c>
    </row>
    <row r="228" spans="39:40">
      <c r="AM228" s="173" t="s">
        <v>1226</v>
      </c>
      <c r="AN228" s="173"/>
    </row>
    <row r="229" spans="39:40">
      <c r="AM229" s="173" t="s">
        <v>1227</v>
      </c>
      <c r="AN229" s="173"/>
    </row>
    <row r="230" spans="39:40">
      <c r="AM230" s="173" t="s">
        <v>1228</v>
      </c>
      <c r="AN230" s="173"/>
    </row>
    <row r="231" spans="39:40">
      <c r="AM231" s="173" t="s">
        <v>1229</v>
      </c>
      <c r="AN231" s="173" t="s">
        <v>719</v>
      </c>
    </row>
    <row r="232" spans="39:40">
      <c r="AM232" s="173" t="s">
        <v>1230</v>
      </c>
      <c r="AN232" s="173"/>
    </row>
    <row r="233" spans="39:40">
      <c r="AM233" s="173" t="s">
        <v>1231</v>
      </c>
      <c r="AN233" s="173"/>
    </row>
    <row r="234" spans="39:40">
      <c r="AM234" s="173" t="s">
        <v>1232</v>
      </c>
      <c r="AN234" s="173"/>
    </row>
    <row r="235" spans="39:40">
      <c r="AM235" s="173" t="s">
        <v>1233</v>
      </c>
      <c r="AN235" s="173"/>
    </row>
    <row r="236" spans="39:40">
      <c r="AM236" s="173" t="s">
        <v>1234</v>
      </c>
      <c r="AN236" s="173"/>
    </row>
    <row r="237" spans="39:40" ht="14" thickBot="1">
      <c r="AM237" s="174" t="s">
        <v>1235</v>
      </c>
      <c r="AN237" s="174"/>
    </row>
    <row r="238" spans="39:40" ht="14" thickTop="1"/>
  </sheetData>
  <sheetProtection formatCells="0" formatColumns="0" formatRows="0" insertColumns="0" insertRows="0" insertHyperlinks="0" deleteColumns="0" deleteRows="0" sort="0" autoFilter="0" pivotTables="0"/>
  <protectedRanges>
    <protectedRange sqref="B118:J118" name="Диапазон40"/>
    <protectedRange sqref="B183:I187 L183:R187 S188:S192" name="Диапазон38"/>
    <protectedRange sqref="B169:R177" name="Диапазон36"/>
    <protectedRange sqref="L101:L106 O101:O106 L110:L141 K110:K142 K159:O164 M110:O158 K143:L158" name="Диапазон34"/>
    <protectedRange sqref="K101:K106 M101:N106" name="Диапазон30"/>
    <protectedRange sqref="M93:N96" name="Диапазон28"/>
    <protectedRange sqref="E88:F89 I88:J89" name="Диапазон26"/>
    <protectedRange sqref="C65:X84" name="Диапазон24"/>
    <protectedRange sqref="G57:H58 K57:L57" name="Диапазон22"/>
    <protectedRange sqref="G47:K52" name="Диапазон20"/>
    <protectedRange sqref="E44:G44" name="Диапазон18"/>
    <protectedRange sqref="E39:G41" name="Диапазон16"/>
    <protectedRange sqref="I29:I31 P101:P106" name="Диапазон14"/>
    <protectedRange sqref="E25:J26" name="Диапазон12"/>
    <protectedRange sqref="M19:N21" name="Диапазон10"/>
    <protectedRange sqref="E19:G19 I19:K19" name="Диапазон8"/>
    <protectedRange sqref="E17:J17" name="Диапазон6"/>
    <protectedRange sqref="E15:F15" name="Диапазон4"/>
    <protectedRange sqref="E12" name="Диапазон2"/>
    <protectedRange sqref="E8:G11" name="Диапазон1"/>
    <protectedRange sqref="E13:J13" name="Диапазон3"/>
    <protectedRange sqref="E16:G16" name="Диапазон5"/>
    <protectedRange sqref="E18:F18" name="Диапазон7"/>
    <protectedRange sqref="E21:F24" name="Диапазон9"/>
    <protectedRange sqref="I22:J23" name="Диапазон11"/>
    <protectedRange sqref="E29:E33" name="Диапазон13"/>
    <protectedRange sqref="E35" name="Диапазон15"/>
    <protectedRange sqref="E42:K42" name="Диапазон17"/>
    <protectedRange sqref="E45:K45" name="Диапазон19"/>
    <protectedRange sqref="G54:I55" name="Диапазон21"/>
    <protectedRange sqref="G56:K56" name="Диапазон23"/>
    <protectedRange sqref="E86:H86" name="Диапазон25"/>
    <protectedRange sqref="E93:J96" name="Диапазон27"/>
    <protectedRange sqref="K94:L94" name="Диапазон29"/>
    <protectedRange sqref="F101:J101 F103:J103 F105:J105" name="Диапазон31"/>
    <protectedRange sqref="P110:Q112 P123:Q164" name="Диапазон35"/>
    <protectedRange sqref="E12:F12" name="Диапазон37"/>
    <protectedRange sqref="N27:O36" name="Диапазон39"/>
  </protectedRanges>
  <dataConsolidate/>
  <mergeCells count="500">
    <mergeCell ref="B3:N3"/>
    <mergeCell ref="B4:C4"/>
    <mergeCell ref="M20:O20"/>
    <mergeCell ref="G113:J113"/>
    <mergeCell ref="B113:F113"/>
    <mergeCell ref="I104:J104"/>
    <mergeCell ref="I106:J106"/>
    <mergeCell ref="B112:F112"/>
    <mergeCell ref="G112:J112"/>
    <mergeCell ref="B110:F110"/>
    <mergeCell ref="B111:F111"/>
    <mergeCell ref="I100:J100"/>
    <mergeCell ref="I89:J89"/>
    <mergeCell ref="J57:J58"/>
    <mergeCell ref="H93:I93"/>
    <mergeCell ref="I83:I84"/>
    <mergeCell ref="G80:H80"/>
    <mergeCell ref="J77:L77"/>
    <mergeCell ref="I75:I76"/>
    <mergeCell ref="J69:L69"/>
    <mergeCell ref="J71:L71"/>
    <mergeCell ref="J73:L73"/>
    <mergeCell ref="M110:N110"/>
    <mergeCell ref="E44:G44"/>
    <mergeCell ref="M136:N136"/>
    <mergeCell ref="M121:N121"/>
    <mergeCell ref="G116:J116"/>
    <mergeCell ref="G132:J132"/>
    <mergeCell ref="I102:J102"/>
    <mergeCell ref="G110:J110"/>
    <mergeCell ref="C83:D83"/>
    <mergeCell ref="E83:F83"/>
    <mergeCell ref="C84:D84"/>
    <mergeCell ref="E89:F89"/>
    <mergeCell ref="E88:F88"/>
    <mergeCell ref="H94:I94"/>
    <mergeCell ref="G115:J115"/>
    <mergeCell ref="G114:J114"/>
    <mergeCell ref="E84:F84"/>
    <mergeCell ref="M117:N117"/>
    <mergeCell ref="M124:N124"/>
    <mergeCell ref="M118:N118"/>
    <mergeCell ref="M132:N132"/>
    <mergeCell ref="M106:N106"/>
    <mergeCell ref="M125:N125"/>
    <mergeCell ref="M112:N112"/>
    <mergeCell ref="M113:N113"/>
    <mergeCell ref="M119:N119"/>
    <mergeCell ref="I23:J23"/>
    <mergeCell ref="J83:L83"/>
    <mergeCell ref="J84:L84"/>
    <mergeCell ref="J81:L81"/>
    <mergeCell ref="E81:F81"/>
    <mergeCell ref="G81:H81"/>
    <mergeCell ref="I79:I80"/>
    <mergeCell ref="E80:F80"/>
    <mergeCell ref="E79:F79"/>
    <mergeCell ref="G79:H79"/>
    <mergeCell ref="I81:I82"/>
    <mergeCell ref="E40:G40"/>
    <mergeCell ref="E41:G41"/>
    <mergeCell ref="E42:K42"/>
    <mergeCell ref="J66:L66"/>
    <mergeCell ref="G75:H75"/>
    <mergeCell ref="E76:F76"/>
    <mergeCell ref="E72:F72"/>
    <mergeCell ref="G72:H72"/>
    <mergeCell ref="E73:F73"/>
    <mergeCell ref="G73:H73"/>
    <mergeCell ref="I73:I74"/>
    <mergeCell ref="E74:F74"/>
    <mergeCell ref="G74:H74"/>
    <mergeCell ref="C67:D67"/>
    <mergeCell ref="E67:F67"/>
    <mergeCell ref="G67:H67"/>
    <mergeCell ref="I67:I68"/>
    <mergeCell ref="C68:D68"/>
    <mergeCell ref="E64:F64"/>
    <mergeCell ref="C64:D64"/>
    <mergeCell ref="C81:D81"/>
    <mergeCell ref="G57:H57"/>
    <mergeCell ref="C66:D66"/>
    <mergeCell ref="E66:F66"/>
    <mergeCell ref="G66:H66"/>
    <mergeCell ref="I65:I66"/>
    <mergeCell ref="E65:F65"/>
    <mergeCell ref="G65:H65"/>
    <mergeCell ref="C65:D65"/>
    <mergeCell ref="C76:D76"/>
    <mergeCell ref="C73:D73"/>
    <mergeCell ref="C74:D74"/>
    <mergeCell ref="C75:D75"/>
    <mergeCell ref="M137:N137"/>
    <mergeCell ref="M135:N135"/>
    <mergeCell ref="M143:N143"/>
    <mergeCell ref="M114:N114"/>
    <mergeCell ref="F103:J103"/>
    <mergeCell ref="C77:D77"/>
    <mergeCell ref="E77:F77"/>
    <mergeCell ref="C78:D78"/>
    <mergeCell ref="C80:D80"/>
    <mergeCell ref="C79:D79"/>
    <mergeCell ref="E78:F78"/>
    <mergeCell ref="M109:N109"/>
    <mergeCell ref="M123:N123"/>
    <mergeCell ref="B109:F109"/>
    <mergeCell ref="E86:H86"/>
    <mergeCell ref="M122:N122"/>
    <mergeCell ref="M116:N116"/>
    <mergeCell ref="M111:N111"/>
    <mergeCell ref="M115:N115"/>
    <mergeCell ref="M129:N129"/>
    <mergeCell ref="M130:N130"/>
    <mergeCell ref="M128:N128"/>
    <mergeCell ref="M127:N127"/>
    <mergeCell ref="M126:N126"/>
    <mergeCell ref="M120:N120"/>
    <mergeCell ref="M134:N134"/>
    <mergeCell ref="M94:N94"/>
    <mergeCell ref="M105:N105"/>
    <mergeCell ref="M101:N101"/>
    <mergeCell ref="M102:N102"/>
    <mergeCell ref="M100:N100"/>
    <mergeCell ref="M103:N103"/>
    <mergeCell ref="M104:N104"/>
    <mergeCell ref="M96:N96"/>
    <mergeCell ref="M133:N133"/>
    <mergeCell ref="M177:O177"/>
    <mergeCell ref="D171:E171"/>
    <mergeCell ref="K171:L171"/>
    <mergeCell ref="M170:O170"/>
    <mergeCell ref="M171:O171"/>
    <mergeCell ref="D170:E170"/>
    <mergeCell ref="K170:L170"/>
    <mergeCell ref="D177:E177"/>
    <mergeCell ref="D176:E176"/>
    <mergeCell ref="K176:L176"/>
    <mergeCell ref="D172:E172"/>
    <mergeCell ref="K172:L172"/>
    <mergeCell ref="D173:E173"/>
    <mergeCell ref="K173:L173"/>
    <mergeCell ref="D175:E175"/>
    <mergeCell ref="K175:L175"/>
    <mergeCell ref="M172:O172"/>
    <mergeCell ref="M173:O173"/>
    <mergeCell ref="M175:O175"/>
    <mergeCell ref="D174:E174"/>
    <mergeCell ref="K174:L174"/>
    <mergeCell ref="G118:J118"/>
    <mergeCell ref="G119:J119"/>
    <mergeCell ref="G124:J124"/>
    <mergeCell ref="G128:J128"/>
    <mergeCell ref="M64:N64"/>
    <mergeCell ref="J64:L64"/>
    <mergeCell ref="U65:V65"/>
    <mergeCell ref="O64:P64"/>
    <mergeCell ref="J65:L65"/>
    <mergeCell ref="M65:N66"/>
    <mergeCell ref="O65:P65"/>
    <mergeCell ref="Q64:R64"/>
    <mergeCell ref="T65:T66"/>
    <mergeCell ref="Q65:R65"/>
    <mergeCell ref="U72:V72"/>
    <mergeCell ref="O66:P66"/>
    <mergeCell ref="S65:S66"/>
    <mergeCell ref="Q66:R66"/>
    <mergeCell ref="S69:S70"/>
    <mergeCell ref="T69:T70"/>
    <mergeCell ref="T67:T68"/>
    <mergeCell ref="S71:S72"/>
    <mergeCell ref="T71:T72"/>
    <mergeCell ref="M69:N70"/>
    <mergeCell ref="W72:X72"/>
    <mergeCell ref="U71:V71"/>
    <mergeCell ref="W78:X78"/>
    <mergeCell ref="W77:X77"/>
    <mergeCell ref="W73:X73"/>
    <mergeCell ref="U74:V74"/>
    <mergeCell ref="W74:X74"/>
    <mergeCell ref="U73:V73"/>
    <mergeCell ref="U75:V75"/>
    <mergeCell ref="W75:X75"/>
    <mergeCell ref="U76:V76"/>
    <mergeCell ref="W76:X76"/>
    <mergeCell ref="U77:V77"/>
    <mergeCell ref="U78:V78"/>
    <mergeCell ref="W64:X64"/>
    <mergeCell ref="U64:V64"/>
    <mergeCell ref="W65:X65"/>
    <mergeCell ref="W71:X71"/>
    <mergeCell ref="W69:X69"/>
    <mergeCell ref="U70:V70"/>
    <mergeCell ref="W70:X70"/>
    <mergeCell ref="U69:V69"/>
    <mergeCell ref="U67:V67"/>
    <mergeCell ref="W67:X67"/>
    <mergeCell ref="W66:X66"/>
    <mergeCell ref="U66:V66"/>
    <mergeCell ref="U68:V68"/>
    <mergeCell ref="W68:X68"/>
    <mergeCell ref="T77:T78"/>
    <mergeCell ref="T73:T74"/>
    <mergeCell ref="S73:S74"/>
    <mergeCell ref="S75:S76"/>
    <mergeCell ref="T75:T76"/>
    <mergeCell ref="Q71:R71"/>
    <mergeCell ref="O72:P72"/>
    <mergeCell ref="Q72:R72"/>
    <mergeCell ref="O71:P71"/>
    <mergeCell ref="O74:P74"/>
    <mergeCell ref="O77:P77"/>
    <mergeCell ref="Q77:R77"/>
    <mergeCell ref="O78:P78"/>
    <mergeCell ref="Q78:R78"/>
    <mergeCell ref="O84:P84"/>
    <mergeCell ref="Q84:R84"/>
    <mergeCell ref="Q82:R82"/>
    <mergeCell ref="M83:N84"/>
    <mergeCell ref="O83:P83"/>
    <mergeCell ref="M81:N82"/>
    <mergeCell ref="O81:P81"/>
    <mergeCell ref="O80:P80"/>
    <mergeCell ref="M79:N80"/>
    <mergeCell ref="O79:P79"/>
    <mergeCell ref="U82:V82"/>
    <mergeCell ref="U79:V79"/>
    <mergeCell ref="Q79:R79"/>
    <mergeCell ref="Q80:R80"/>
    <mergeCell ref="Q76:R76"/>
    <mergeCell ref="S67:S68"/>
    <mergeCell ref="S77:S78"/>
    <mergeCell ref="W83:X83"/>
    <mergeCell ref="U84:V84"/>
    <mergeCell ref="W84:X84"/>
    <mergeCell ref="Q83:R83"/>
    <mergeCell ref="T83:T84"/>
    <mergeCell ref="U83:V83"/>
    <mergeCell ref="S83:S84"/>
    <mergeCell ref="W82:X82"/>
    <mergeCell ref="Q81:R81"/>
    <mergeCell ref="W79:X79"/>
    <mergeCell ref="U80:V80"/>
    <mergeCell ref="W80:X80"/>
    <mergeCell ref="S79:S80"/>
    <mergeCell ref="T79:T80"/>
    <mergeCell ref="W81:X81"/>
    <mergeCell ref="U81:V81"/>
    <mergeCell ref="T81:T82"/>
    <mergeCell ref="S81:S82"/>
    <mergeCell ref="C71:D71"/>
    <mergeCell ref="E71:F71"/>
    <mergeCell ref="G71:H71"/>
    <mergeCell ref="I71:I72"/>
    <mergeCell ref="C72:D72"/>
    <mergeCell ref="C69:D69"/>
    <mergeCell ref="E69:F69"/>
    <mergeCell ref="G69:H69"/>
    <mergeCell ref="I69:I70"/>
    <mergeCell ref="C70:D70"/>
    <mergeCell ref="E70:F70"/>
    <mergeCell ref="G70:H70"/>
    <mergeCell ref="M73:N74"/>
    <mergeCell ref="O73:P73"/>
    <mergeCell ref="Q73:R73"/>
    <mergeCell ref="O69:P69"/>
    <mergeCell ref="Q69:R69"/>
    <mergeCell ref="O70:P70"/>
    <mergeCell ref="Q70:R70"/>
    <mergeCell ref="O68:P68"/>
    <mergeCell ref="Q68:R68"/>
    <mergeCell ref="M95:N95"/>
    <mergeCell ref="K92:L92"/>
    <mergeCell ref="H92:I92"/>
    <mergeCell ref="M92:N92"/>
    <mergeCell ref="J70:L70"/>
    <mergeCell ref="G77:H77"/>
    <mergeCell ref="I77:I78"/>
    <mergeCell ref="J76:L76"/>
    <mergeCell ref="G78:H78"/>
    <mergeCell ref="J78:L78"/>
    <mergeCell ref="G76:H76"/>
    <mergeCell ref="J72:L72"/>
    <mergeCell ref="G83:H83"/>
    <mergeCell ref="J75:L75"/>
    <mergeCell ref="I88:J88"/>
    <mergeCell ref="G82:H82"/>
    <mergeCell ref="J79:L79"/>
    <mergeCell ref="G84:H84"/>
    <mergeCell ref="O76:P76"/>
    <mergeCell ref="Q74:R74"/>
    <mergeCell ref="Q75:R75"/>
    <mergeCell ref="M77:N78"/>
    <mergeCell ref="E15:F15"/>
    <mergeCell ref="E16:G16"/>
    <mergeCell ref="E24:F24"/>
    <mergeCell ref="E25:J25"/>
    <mergeCell ref="I22:J22"/>
    <mergeCell ref="K94:L94"/>
    <mergeCell ref="G47:K48"/>
    <mergeCell ref="G49:K50"/>
    <mergeCell ref="G51:K52"/>
    <mergeCell ref="G54:I54"/>
    <mergeCell ref="G64:H64"/>
    <mergeCell ref="G58:H58"/>
    <mergeCell ref="J68:L68"/>
    <mergeCell ref="I19:K19"/>
    <mergeCell ref="E26:J26"/>
    <mergeCell ref="K57:L57"/>
    <mergeCell ref="G55:I55"/>
    <mergeCell ref="G56:K56"/>
    <mergeCell ref="E82:F82"/>
    <mergeCell ref="E45:K45"/>
    <mergeCell ref="E68:F68"/>
    <mergeCell ref="G68:H68"/>
    <mergeCell ref="J67:L67"/>
    <mergeCell ref="E75:F75"/>
    <mergeCell ref="E8:G8"/>
    <mergeCell ref="E9:G9"/>
    <mergeCell ref="E10:G10"/>
    <mergeCell ref="E11:G11"/>
    <mergeCell ref="E39:G39"/>
    <mergeCell ref="G145:J145"/>
    <mergeCell ref="G133:J133"/>
    <mergeCell ref="G127:J127"/>
    <mergeCell ref="G117:J117"/>
    <mergeCell ref="G122:J122"/>
    <mergeCell ref="G123:J123"/>
    <mergeCell ref="G120:J120"/>
    <mergeCell ref="G121:J121"/>
    <mergeCell ref="G131:J131"/>
    <mergeCell ref="G126:J126"/>
    <mergeCell ref="E17:J17"/>
    <mergeCell ref="E18:F18"/>
    <mergeCell ref="E19:G19"/>
    <mergeCell ref="E21:F21"/>
    <mergeCell ref="E22:F22"/>
    <mergeCell ref="E23:F23"/>
    <mergeCell ref="G125:J125"/>
    <mergeCell ref="E12:F12"/>
    <mergeCell ref="E13:J13"/>
    <mergeCell ref="B131:F131"/>
    <mergeCell ref="B149:F149"/>
    <mergeCell ref="B115:F115"/>
    <mergeCell ref="G134:J134"/>
    <mergeCell ref="G146:J146"/>
    <mergeCell ref="G142:J142"/>
    <mergeCell ref="J80:L80"/>
    <mergeCell ref="B146:F146"/>
    <mergeCell ref="B147:F147"/>
    <mergeCell ref="B118:F118"/>
    <mergeCell ref="B139:F139"/>
    <mergeCell ref="B140:F140"/>
    <mergeCell ref="B141:F141"/>
    <mergeCell ref="B143:F143"/>
    <mergeCell ref="G143:J143"/>
    <mergeCell ref="H95:I95"/>
    <mergeCell ref="F105:J105"/>
    <mergeCell ref="F101:J101"/>
    <mergeCell ref="H96:I96"/>
    <mergeCell ref="B117:F117"/>
    <mergeCell ref="B123:F123"/>
    <mergeCell ref="B114:F114"/>
    <mergeCell ref="C82:D82"/>
    <mergeCell ref="G109:J109"/>
    <mergeCell ref="M19:O19"/>
    <mergeCell ref="M168:O168"/>
    <mergeCell ref="M67:N68"/>
    <mergeCell ref="O67:P67"/>
    <mergeCell ref="M75:N76"/>
    <mergeCell ref="O75:P75"/>
    <mergeCell ref="B119:F119"/>
    <mergeCell ref="B122:F122"/>
    <mergeCell ref="B120:F120"/>
    <mergeCell ref="B121:F121"/>
    <mergeCell ref="B133:F133"/>
    <mergeCell ref="B129:F129"/>
    <mergeCell ref="B137:F137"/>
    <mergeCell ref="B135:F135"/>
    <mergeCell ref="B136:F136"/>
    <mergeCell ref="G136:J136"/>
    <mergeCell ref="G135:J135"/>
    <mergeCell ref="G137:J137"/>
    <mergeCell ref="M138:N138"/>
    <mergeCell ref="M141:N141"/>
    <mergeCell ref="G138:J138"/>
    <mergeCell ref="B138:F138"/>
    <mergeCell ref="G139:J139"/>
    <mergeCell ref="G140:J140"/>
    <mergeCell ref="B183:I187"/>
    <mergeCell ref="L15:M15"/>
    <mergeCell ref="L16:M16"/>
    <mergeCell ref="M174:O174"/>
    <mergeCell ref="J82:L82"/>
    <mergeCell ref="O82:P82"/>
    <mergeCell ref="B142:F142"/>
    <mergeCell ref="B145:F145"/>
    <mergeCell ref="J74:L74"/>
    <mergeCell ref="B148:F148"/>
    <mergeCell ref="G148:J148"/>
    <mergeCell ref="G141:J141"/>
    <mergeCell ref="B116:F116"/>
    <mergeCell ref="G111:J111"/>
    <mergeCell ref="G129:J129"/>
    <mergeCell ref="G130:J130"/>
    <mergeCell ref="B134:F134"/>
    <mergeCell ref="B124:F124"/>
    <mergeCell ref="B128:F128"/>
    <mergeCell ref="B126:F126"/>
    <mergeCell ref="B125:F125"/>
    <mergeCell ref="B127:F127"/>
    <mergeCell ref="B132:F132"/>
    <mergeCell ref="B130:F130"/>
    <mergeCell ref="K169:L169"/>
    <mergeCell ref="K168:L168"/>
    <mergeCell ref="M169:O169"/>
    <mergeCell ref="M152:N152"/>
    <mergeCell ref="B144:F144"/>
    <mergeCell ref="G144:J144"/>
    <mergeCell ref="M144:N144"/>
    <mergeCell ref="B158:F158"/>
    <mergeCell ref="B155:F155"/>
    <mergeCell ref="M145:N145"/>
    <mergeCell ref="B153:F153"/>
    <mergeCell ref="B154:F154"/>
    <mergeCell ref="B150:F150"/>
    <mergeCell ref="B152:F152"/>
    <mergeCell ref="B157:F157"/>
    <mergeCell ref="B151:F151"/>
    <mergeCell ref="B156:F156"/>
    <mergeCell ref="D169:E169"/>
    <mergeCell ref="D168:E168"/>
    <mergeCell ref="B159:F159"/>
    <mergeCell ref="M148:N148"/>
    <mergeCell ref="M149:N149"/>
    <mergeCell ref="M147:N147"/>
    <mergeCell ref="L183:R187"/>
    <mergeCell ref="K177:L177"/>
    <mergeCell ref="G154:J154"/>
    <mergeCell ref="G152:J152"/>
    <mergeCell ref="G153:J153"/>
    <mergeCell ref="G147:J147"/>
    <mergeCell ref="P171:R171"/>
    <mergeCell ref="M146:N146"/>
    <mergeCell ref="M151:N151"/>
    <mergeCell ref="M150:N150"/>
    <mergeCell ref="M155:N155"/>
    <mergeCell ref="M154:N154"/>
    <mergeCell ref="M156:N156"/>
    <mergeCell ref="M153:N153"/>
    <mergeCell ref="G149:J149"/>
    <mergeCell ref="P170:R170"/>
    <mergeCell ref="G150:J150"/>
    <mergeCell ref="G157:J157"/>
    <mergeCell ref="G151:J151"/>
    <mergeCell ref="G156:J156"/>
    <mergeCell ref="G155:J155"/>
    <mergeCell ref="G158:J158"/>
    <mergeCell ref="G159:J159"/>
    <mergeCell ref="M159:N159"/>
    <mergeCell ref="M21:O21"/>
    <mergeCell ref="P103:Q103"/>
    <mergeCell ref="P104:Q104"/>
    <mergeCell ref="P176:R176"/>
    <mergeCell ref="P177:R177"/>
    <mergeCell ref="P172:R172"/>
    <mergeCell ref="P173:R173"/>
    <mergeCell ref="P174:R174"/>
    <mergeCell ref="P175:R175"/>
    <mergeCell ref="P168:R168"/>
    <mergeCell ref="P169:R169"/>
    <mergeCell ref="P105:Q105"/>
    <mergeCell ref="P106:Q106"/>
    <mergeCell ref="M158:N158"/>
    <mergeCell ref="M157:N157"/>
    <mergeCell ref="M176:O176"/>
    <mergeCell ref="N27:O36"/>
    <mergeCell ref="M71:N72"/>
    <mergeCell ref="M131:N131"/>
    <mergeCell ref="M139:N139"/>
    <mergeCell ref="M140:N140"/>
    <mergeCell ref="M142:N142"/>
    <mergeCell ref="M93:N93"/>
    <mergeCell ref="Q67:R67"/>
    <mergeCell ref="T106:U106"/>
    <mergeCell ref="T102:U102"/>
    <mergeCell ref="T103:U103"/>
    <mergeCell ref="T104:U104"/>
    <mergeCell ref="T105:U105"/>
    <mergeCell ref="P100:Q100"/>
    <mergeCell ref="R100:S100"/>
    <mergeCell ref="T100:U100"/>
    <mergeCell ref="T101:U101"/>
    <mergeCell ref="R101:S101"/>
    <mergeCell ref="R102:S102"/>
    <mergeCell ref="R103:S103"/>
    <mergeCell ref="R104:S104"/>
    <mergeCell ref="R105:S105"/>
    <mergeCell ref="R106:S106"/>
    <mergeCell ref="P101:Q101"/>
    <mergeCell ref="P102:Q102"/>
  </mergeCells>
  <phoneticPr fontId="16" type="noConversion"/>
  <conditionalFormatting sqref="E12:F12 E13:J13 E15:F15 E16:G16 E19:G19 L16:M16 I19:K19 E21:F24 E29:E33 E35 I29:I31 I22:J23 O111:O148 E86:H86 E8:G11 E39:G41 E42:K42 E44:G44 E45:K45 G47:K52 G54:I55 G56:K56 G57:H58 K57:L57 E17:J17 E18:F18 E25:J26 M102:N106 K94:L94 M93:N96 E88:F89 C65:X84 P123:P146 N19:O19 P111:P112 O110:P110 M19:M21 M149:P159 I88:J89 M110:N148 H93:J96">
    <cfRule type="cellIs" dxfId="2" priority="1" stopIfTrue="1" operator="greaterThan">
      <formula>1</formula>
    </cfRule>
  </conditionalFormatting>
  <conditionalFormatting sqref="L15:M15">
    <cfRule type="cellIs" dxfId="1" priority="2" stopIfTrue="1" operator="greaterThan">
      <formula>2</formula>
    </cfRule>
  </conditionalFormatting>
  <conditionalFormatting sqref="L110:L146 K110:K149 E93:G96 F103:H103 F105:H105 L149:L152 I102:L106 P114:P122 T101:T106 V101:V106 F101:R101 O102:R106 K153:L159 B169:R177">
    <cfRule type="cellIs" dxfId="0" priority="3" stopIfTrue="1" operator="greaterThan">
      <formula>1</formula>
    </cfRule>
  </conditionalFormatting>
  <dataValidations xWindow="806" yWindow="398" count="138">
    <dataValidation type="date" operator="greaterThan" showInputMessage="1" errorTitle="Crewing Data System" error="Введенное значение должно иметь формат даты_x000a_и находиться быть больше Даты рождения" sqref="J96 J93" xr:uid="{00000000-0002-0000-0000-000000000000}">
      <formula1>G93</formula1>
    </dataValidation>
    <dataValidation type="date" operator="greaterThan" allowBlank="1" showInputMessage="1" showErrorMessage="1" errorTitle="Crewing Data System" error="Введенное значение должно иметь формат даты_x000a_и быть больше Даты выдачи диплома." promptTitle="Формат даты:" prompt="Вводите дату ДД.ММ.ГГГГ_x000a_Обратите внимание день точка месяц (цифра) точка год (4 цифры." sqref="O101:O106" xr:uid="{00000000-0002-0000-0000-000001000000}">
      <formula1>L101</formula1>
    </dataValidation>
    <dataValidation type="date" operator="greaterThan" allowBlank="1" showInputMessage="1" showErrorMessage="1" errorTitle="Crewing Data System" error="Введенное значение должно быть больше Даты выдачи. Valid Data must be more date of issue Date." sqref="O124:O128 O130:O146 O110:O120 O122 O149:O154 O156:O159" xr:uid="{00000000-0002-0000-0000-000002000000}">
      <formula1>L110</formula1>
    </dataValidation>
    <dataValidation type="date" operator="greaterThan" allowBlank="1" showInputMessage="1" showErrorMessage="1" errorTitle="Crewing Data System" error="Дата окончания работы на судне должна быть больше даты начала работы на судне." sqref="C169:C177 B176" xr:uid="{00000000-0002-0000-0000-000003000000}">
      <formula1>A169</formula1>
    </dataValidation>
    <dataValidation type="date" operator="greaterThan" allowBlank="1" showInputMessage="1" showErrorMessage="1" errorTitle="Crewing Data System" error="Данная дата должна быть больше даты указанной строчкой выше, т.к. Начало трудовой деятельности вверху, окончание трудовой деятельности внизу." sqref="B174:B175 B177" xr:uid="{00000000-0002-0000-0000-000004000000}">
      <formula1>C173</formula1>
    </dataValidation>
    <dataValidation type="date" operator="greaterThan" allowBlank="1" showInputMessage="1" showErrorMessage="1" errorTitle="Crewing Data System" error="Данная дата должна быть больше даты указанной строчкой выше, т.к. Начало трудовой деятельности вверху, окончание трудовой деятельности внизу." promptTitle="Дата начала работы" prompt="Вводить в формате день.месяц.год (все цифрами, год - полностью). Пример: 01.01.1999" sqref="B170" xr:uid="{00000000-0002-0000-0000-000005000000}">
      <formula1>C169</formula1>
    </dataValidation>
    <dataValidation type="date" operator="greaterThan" allowBlank="1" showInputMessage="1" showErrorMessage="1" errorTitle="Crewing Data System" error="Данная дата должна быть больше даты указанной строчкой выше, т.к. Начало трудовой деятельности вверху, окончание трудовой деятельности внизу." promptTitle="Дата начала работы" prompt="Ваше последнее судно. Если это ваше не последнее судно, продолжайте заполнять ниже в хронологическом порядке. Вводить в формате день.месяц.год (все цифрами, год - полностью). Пример: 01.01.2005" sqref="B173" xr:uid="{00000000-0002-0000-0000-000006000000}">
      <formula1>C172</formula1>
    </dataValidation>
    <dataValidation type="date" operator="greaterThan" allowBlank="1" showInputMessage="1" showErrorMessage="1" errorTitle="Crewing Data System" error="Данная дата должна быть больше даты указанной строчкой выше, т.к. Начало трудовой деятельности вверху, окончание трудовой деятельности внизу." promptTitle="Дата начала работы" prompt="Вводить в формате день.месяц.год (все цифрами, год - полностью). Пример: 01.01.2002" sqref="B172" xr:uid="{00000000-0002-0000-0000-000007000000}">
      <formula1>C171</formula1>
    </dataValidation>
    <dataValidation type="date" operator="greaterThan" allowBlank="1" showInputMessage="1" showErrorMessage="1" errorTitle="Crewing Data System" error="Данная дата должна быть больше даты указанной строчкой выше, т.к. Начало трудовой деятельности вверху, окончание трудовой деятельности внизу." promptTitle="Дата начала работы" prompt="Вводить в формате день.месяц.год (все цифрами, год - полностью). Пример: 01.01.2000" sqref="B171" xr:uid="{00000000-0002-0000-0000-000008000000}">
      <formula1>C170</formula1>
    </dataValidation>
    <dataValidation type="date" operator="greaterThan" allowBlank="1" showInputMessage="1" showErrorMessage="1" errorTitle="Crewing Data System" error="Введенное значение должно быть больше Даты выдачи. Valid Data must be more date of issue Date." promptTitle="Формат даты ДД.ММ.ГГГГ" prompt="15 Строка на Стр № 4 Антигуа Сименс Бук. Соответствует сроку годности Рабочего Диплома." sqref="O121" xr:uid="{00000000-0002-0000-0000-000009000000}">
      <formula1>L121</formula1>
    </dataValidation>
    <dataValidation type="date" operator="greaterThan" allowBlank="1" showInputMessage="1" showErrorMessage="1" errorTitle="Crewing Data System" error="Введенное значение должно быть больше Даты выдачи. Valid Data must be more date of issue Date." promptTitle="Valid to:" prompt="Под датой оформления Подтверждения, Например:_x000a_Valid to:_______  27.05.2005. _x000a_Обратите внимание: день Точка месяц (цифра) Точка год (4 цифры)." sqref="O123" xr:uid="{00000000-0002-0000-0000-00000A000000}">
      <formula1>L123</formula1>
    </dataValidation>
    <dataValidation type="date" operator="greaterThan" allowBlank="1" showInputMessage="1" showErrorMessage="1" errorTitle="Crewing Data System" error="Введенное значение должно быть больше Даты выдачи. Valid Data must be more date of issue Date." promptTitle="Дедкомиссия годна по :" prompt="Дата  ДД.ММ.ГГГГ" sqref="O155" xr:uid="{00000000-0002-0000-0000-00000B000000}">
      <formula1>L155</formula1>
    </dataValidation>
    <dataValidation type="date" operator="greaterThan" allowBlank="1" showInputMessage="1" errorTitle="Crewing Data System" error="Введенное значение должно иметь формат даты_x000a_и находиться быть больше Даты рождения" sqref="J94:J95" xr:uid="{00000000-0002-0000-0000-00000C000000}">
      <formula1>G94</formula1>
    </dataValidation>
    <dataValidation type="textLength" errorStyle="warning" operator="lessThan" allowBlank="1" showInputMessage="1" showErrorMessage="1" errorTitle="Crewing Data System" error="Длина введенного значения превышает предельно допустимую (20 символов)" promptTitle="Father's Name." prompt="Ваше отчество. По-английски." sqref="E11:G11" xr:uid="{00000000-0002-0000-0000-00000D000000}">
      <formula1>20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20 символов)" promptTitle="Your Name. as in passport." prompt="Ваше Имя, Написание по английски, как в Паспорте моряка." sqref="E10:G10" xr:uid="{00000000-0002-0000-0000-00000E000000}">
      <formula1>20</formula1>
    </dataValidation>
    <dataValidation type="date" allowBlank="1" showInputMessage="1" showErrorMessage="1" errorTitle="Crewing Data System" error="Введено неправильное значение или_x000a_дата рождения находится вне диапазона _x000a_от 01.01.1930 до 01.01.1999" promptTitle="Date of Berth." prompt="Дата рождения. Как в паспорте моряка вводить в формате день.месяц.год (все цифрами, год - полностью)" sqref="E12:F12" xr:uid="{00000000-0002-0000-0000-00000F000000}">
      <formula1>1</formula1>
      <formula2>36526</formula2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50 символов)" sqref="G56:K56 E42:K42 E45:K45" xr:uid="{00000000-0002-0000-0000-000010000000}">
      <formula1>150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50 символов)" sqref="K150:K158 G55:I55 D169:D177" xr:uid="{00000000-0002-0000-0000-000011000000}">
      <formula1>50</formula1>
    </dataValidation>
    <dataValidation showInputMessage="1" errorTitle="Crewing Data System" error="Введенное значение должно быть целым числом от 0 до 99999999" sqref="T65:T84" xr:uid="{00000000-0002-0000-0000-000012000000}"/>
    <dataValidation type="textLength" operator="lessThan" allowBlank="1" showInputMessage="1" showErrorMessage="1" errorTitle="Crewing Data System" error="Длина введенного значения превышает предельно допустимую (60 символов)" promptTitle="Номер телефона" prompt="Ваш Мобильник. Если у вас нет мобильника, можете указать телефон ваших знакомых - тогда сделайте поясняющую приписку." sqref="I19:K19" xr:uid="{00000000-0002-0000-0000-000013000000}">
      <formula1>60</formula1>
    </dataValidation>
    <dataValidation type="list" showInputMessage="1" errorTitle="Crewing Data System" error="Введенное значение должно быть одним из списка" sqref="E21:F21" xr:uid="{00000000-0002-0000-0000-000014000000}">
      <formula1>$AU$7:$AU$8</formula1>
    </dataValidation>
    <dataValidation type="list" allowBlank="1" showInputMessage="1" errorTitle="Crewing Data System" error="Введенное значение должно быть одним из списка" sqref="E23:F23" xr:uid="{00000000-0002-0000-0000-000015000000}">
      <formula1>$AW$7:$AW$11</formula1>
    </dataValidation>
    <dataValidation type="list" allowBlank="1" showInputMessage="1" errorTitle="Crewing Data System" error="Введенное значение должно быть одним из списка" promptTitle="Исповедуемая религия" prompt="Атеист - Atheist_x000a_Православные - Orthodox" sqref="E24:F24" xr:uid="{00000000-0002-0000-0000-000016000000}">
      <formula1>$AY$7:$AY$12</formula1>
    </dataValidation>
    <dataValidation type="decimal" allowBlank="1" showInputMessage="1" showErrorMessage="1" errorTitle="Crewing Data System" error="Введенное значение должно быть дробным числом от 1 до 2,5" sqref="E30" xr:uid="{00000000-0002-0000-0000-000017000000}">
      <formula1>1</formula1>
      <formula2>2.5</formula2>
    </dataValidation>
    <dataValidation type="decimal" allowBlank="1" showInputMessage="1" showErrorMessage="1" errorTitle="Crewing Data System" error="Введенное значение должно быть целым числом в пределах от 30 до 200" sqref="E29" xr:uid="{00000000-0002-0000-0000-000018000000}">
      <formula1>50</formula1>
      <formula2>150</formula2>
    </dataValidation>
    <dataValidation type="whole" allowBlank="1" showInputMessage="1" showErrorMessage="1" errorTitle="Crewing Data System" error="Введенное значение должно быть целым числом от 2 до 55" sqref="E32" xr:uid="{00000000-0002-0000-0000-000019000000}">
      <formula1>2</formula1>
      <formula2>55</formula2>
    </dataValidation>
    <dataValidation type="whole" allowBlank="1" showInputMessage="1" showErrorMessage="1" errorTitle="Crewing Data System" error="Введенное значение должно быть целым числом от 48 до 56" promptTitle="Рабочий комбинезон" prompt="Размер указывайте с учетом того, что Х.Б. как правило садится после стирки на 1 размер." sqref="E31" xr:uid="{00000000-0002-0000-0000-00001A000000}">
      <formula1>46</formula1>
      <formula2>64</formula2>
    </dataValidation>
    <dataValidation type="decimal" allowBlank="1" showInputMessage="1" showErrorMessage="1" errorTitle="Crewing Data System" error="Введенное значение должно быть целым числом _x000a_и находиться в диапазоне от 56 до 62." promptTitle="Головной убор" prompt="Размер в сантиметрах по окружности головы в районе лба. _x000a_Не уверены- измерьте." sqref="E33" xr:uid="{00000000-0002-0000-0000-00001B000000}">
      <formula1>56</formula1>
      <formula2>62</formula2>
    </dataValidation>
    <dataValidation type="list" showInputMessage="1" showErrorMessage="1" errorTitle="Crewing Data System" error="Введенное значение должно быть одним из списка" promptTitle="Цвет глаз." prompt="Данные вносите с паспорта моряка _x000a_(страница 32) если они внесены в паспорт правильно. Если в паспорте ошибка, вносите реальный цвет глаз." sqref="I30" xr:uid="{00000000-0002-0000-0000-00001C000000}">
      <formula1>$AV$7:$AV$10</formula1>
    </dataValidation>
    <dataValidation type="list" showInputMessage="1" errorTitle="Crewing Data System" error="Введенное значение должно быть целым числом от 0 до 100" promptTitle="Знание английского языка в %" prompt="Заполнять всегда, особенно если у Вас есть сертификат о сдаче этого теста в какой либо Круинговой компании." sqref="E35" xr:uid="{00000000-0002-0000-0000-00001D000000}">
      <formula1>$BJ$7:$BJ$34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20 символов)" sqref="H169:H177 E44:G44 E40:G41 N173:O176 K173:M177 K169:O169 K171:O171 J174:J177 J170:O170 J172:O172" xr:uid="{00000000-0002-0000-0000-00001E000000}">
      <formula1>20</formula1>
    </dataValidation>
    <dataValidation type="list" showInputMessage="1" showErrorMessage="1" errorTitle="Crewing Data System" error="Введенное значение должно быть одним из списка" sqref="I31" xr:uid="{00000000-0002-0000-0000-00001F000000}">
      <formula1>$AZ$7:$AZ$9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200 символов)" sqref="G47:K53" xr:uid="{00000000-0002-0000-0000-000020000000}">
      <formula1>200</formula1>
    </dataValidation>
    <dataValidation type="list" allowBlank="1" showInputMessage="1" showErrorMessage="1" errorTitle="Crewing Data System" error="Введенное значение должно быть одним из списка" sqref="G54:I54" xr:uid="{00000000-0002-0000-0000-000021000000}">
      <formula1>$AT$7:$AT$14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40 символов)" sqref="G57:H57 K57:L57" xr:uid="{00000000-0002-0000-0000-000022000000}">
      <formula1>50</formula1>
    </dataValidation>
    <dataValidation type="date" allowBlank="1" showInputMessage="1" showErrorMessage="1" errorTitle="Crewing Data System" error="Введен неправильный формат даты или дата вне диапазона 1.01.1920 - [Текущая дата]" sqref="I67:I84" xr:uid="{00000000-0002-0000-0000-000023000000}">
      <formula1>snFirstDate</formula1>
      <formula2>snEndDate</formula2>
    </dataValidation>
    <dataValidation type="textLength" operator="lessThan" allowBlank="1" showInputMessage="1" showErrorMessage="1" errorTitle="Crewind Data System" error="Длина введенного значения превышает предельно допустимую (40 символов)" sqref="S65:S84" xr:uid="{00000000-0002-0000-0000-000024000000}">
      <formula1>40</formula1>
    </dataValidation>
    <dataValidation type="textLength" operator="lessThan" allowBlank="1" showInputMessage="1" showErrorMessage="1" errorTitle="Crewing Data System" error="Величина этого поля не должна быть больше 20 символов" sqref="D82 E74:F84 E72:F72 E66:F70 G66:H84 D80 D78 C77:C84 C66:D66 C68:C70 D70 D68 D84" xr:uid="{00000000-0002-0000-0000-000025000000}">
      <formula1>20</formula1>
    </dataValidation>
    <dataValidation type="textLength" operator="lessThan" allowBlank="1" showInputMessage="1" showErrorMessage="1" errorTitle="Crewing Data System" error="Величина этого поля не должна быть больне 50 символов" sqref="AH148:AH154 AD65:AE84 AH56 U65:Y84 AF101 J65:K84 L66:L84 AF127:AF130 AF171:AF173 AF151 Q65:R84 AF135:AF136" xr:uid="{00000000-0002-0000-0000-000026000000}">
      <formula1>50</formula1>
    </dataValidation>
    <dataValidation type="textLength" operator="lessThan" allowBlank="1" showInputMessage="1" showErrorMessage="1" errorTitle="Crewing Data System" error="Величина этого поля не должна быть больне 20 символов" sqref="O65:P84" xr:uid="{00000000-0002-0000-0000-000027000000}">
      <formula1>20</formula1>
    </dataValidation>
    <dataValidation type="date" allowBlank="1" showInputMessage="1" showErrorMessage="1" errorTitle="Crewing Data System" error="Введенное значение должно иметь формат даты_x000a_и находиться в диапазоне (Дата рождения) - (Текущая дата)" sqref="G93:G96" xr:uid="{00000000-0002-0000-0000-000028000000}">
      <formula1>snStartDate</formula1>
      <formula2>snEndDate</formula2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 символов)" sqref="E93:F96" xr:uid="{00000000-0002-0000-0000-000029000000}">
      <formula1>10</formula1>
    </dataValidation>
    <dataValidation type="textLength" errorStyle="warning" operator="lessThan" allowBlank="1" showInputMessage="1" showErrorMessage="1" errorTitle="Crewing Data System" error="Длина введенного значения превышает предельно допустимую (20 символов)" promptTitle="Family Name. as in your passport" prompt="Ваша Фамилия, Написание по английски, как в Паспорте моряка." sqref="E9:G9" xr:uid="{00000000-0002-0000-0000-00002A000000}">
      <formula1>20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50 символов)" promptTitle="P.O.B. As in your Passport." prompt="Место рождения. По-английски, как в паспорте моряка." sqref="E13:J13" xr:uid="{00000000-0002-0000-0000-00002B000000}">
      <formula1>150</formula1>
    </dataValidation>
    <dataValidation type="list" showInputMessage="1" showErrorMessage="1" sqref="E86:H86" xr:uid="{00000000-0002-0000-0000-00002C000000}">
      <formula1>$AC$65:$AC$74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50 символов)" promptTitle="Введите Город" prompt="Здесь и далее адрес, где реально живете." sqref="E16:G16" xr:uid="{00000000-0002-0000-0000-00002D000000}">
      <formula1>50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50 символов)" promptTitle="Улица, дом - квартира." prompt="Введите улицу, дом, корпус,  - квартира (если есть)." sqref="E17:J17" xr:uid="{00000000-0002-0000-0000-00002E000000}">
      <formula1>150</formula1>
    </dataValidation>
    <dataValidation allowBlank="1" showInputMessage="1" showErrorMessage="1" errorTitle="Crewing Data System" error="Введенное значение должно быть целым числом от 0 до 99999999" promptTitle="Почтовый индекс" prompt="Проверьте на почте - индекс во многих местах поменялся." sqref="E18:F18" xr:uid="{00000000-0002-0000-0000-00002F000000}"/>
    <dataValidation type="textLength" operator="lessThan" allowBlank="1" showInputMessage="1" showErrorMessage="1" errorTitle="Crewing Data System" error="Длина введенного значения превышает предельно допустимую (150 символов)" promptTitle="Образование" prompt="Название учебного заведения, специальность и год выпуска." sqref="E26:J26" xr:uid="{00000000-0002-0000-0000-000030000000}">
      <formula1>150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20 символов)" promptTitle="Данные для русско-говорящих." prompt="Поля помеченные синим цветом заполняют только Русско говорящие моряки." sqref="E39:G39" xr:uid="{00000000-0002-0000-0000-000031000000}">
      <formula1>20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60 символов)" promptTitle="Номер телефона" prompt="Введите в полном формате с указанием:_x000a_кода страны (кода города) - номера телефона. Например_x000a_7-8888-123456. Если не ваш личный, укажите чей." sqref="E19:G19" xr:uid="{00000000-0002-0000-0000-000032000000}">
      <formula1>60</formula1>
    </dataValidation>
    <dataValidation type="textLength" operator="lessThan" allowBlank="1" showInputMessage="1" showErrorMessage="1" errorTitle="Crewing Data System" error="Величина этого поля не должна быть больше 30 символов" promptTitle="Жена" prompt="Фамилия по-английски" sqref="C65:D65" xr:uid="{00000000-0002-0000-0000-000033000000}">
      <formula1>30</formula1>
    </dataValidation>
    <dataValidation type="textLength" operator="lessThan" allowBlank="1" showInputMessage="1" showErrorMessage="1" errorTitle="Crewing Data System" error="Величина этого поля не должна быть больше 20 символов" promptTitle="Мать" prompt="Фамилия по-английски" sqref="C67:D67" xr:uid="{00000000-0002-0000-0000-000034000000}">
      <formula1>20</formula1>
    </dataValidation>
    <dataValidation type="textLength" operator="lessThan" allowBlank="1" showInputMessage="1" showErrorMessage="1" errorTitle="Crewing Data System" error="Величина этого поля не должна быть больше 20 символов" promptTitle="Жена" prompt="Имя по-английски." sqref="E65:F65" xr:uid="{00000000-0002-0000-0000-000035000000}">
      <formula1>20</formula1>
    </dataValidation>
    <dataValidation type="textLength" operator="lessThan" allowBlank="1" showInputMessage="1" showErrorMessage="1" errorTitle="Crewing Data System" error="Величина этого поля не должна быть больше 20 символов" promptTitle="Жена" prompt="Отчество по-английски" sqref="G65:H65" xr:uid="{00000000-0002-0000-0000-000036000000}">
      <formula1>20</formula1>
    </dataValidation>
    <dataValidation type="date" allowBlank="1" showInputMessage="1" showErrorMessage="1" errorTitle="Crewing Data System" error="Введен неправильный формат даты или дата вне диапазона 1.01.1920 - [Текущая дата]" promptTitle="Дата рождения" prompt="Как в паспорте, вводить в формате день.месяц.год (все цифрами, год - полностью)" sqref="I65:I66" xr:uid="{00000000-0002-0000-0000-000037000000}">
      <formula1>snFirstDate</formula1>
      <formula2>snEndDate</formula2>
    </dataValidation>
    <dataValidation allowBlank="1" showInputMessage="1" errorTitle="Crewing Data System" error="Введенное значение должно быть целым числом от 0 до 99999999" promptTitle="E-mail" prompt="Желательно указать." sqref="G58:H58" xr:uid="{00000000-0002-0000-0000-000038000000}"/>
    <dataValidation allowBlank="1" showInputMessage="1" showErrorMessage="1" errorTitle="Crewing Data System" error="Введенное значение должно иметь формат даты_x000a_и находиться в диапазоне (Дата рождения) - (Текущая дата)" promptTitle="Дата начала работы" prompt="Например с 1993-1995 годов.  Вводить в формате день.месяц.год (все цифрами, год - полностью). Пример: 01.01.1995" sqref="B169" xr:uid="{00000000-0002-0000-0000-000039000000}"/>
    <dataValidation type="textLength" operator="lessThan" allowBlank="1" showInputMessage="1" showErrorMessage="1" errorTitle="Crewing Data System" error="Номер должен быть не больше 25 символов длиной" promptTitle="Номер Диплома" prompt="Введите номер диплома (для Росиян 10 цифр) соответствующего вашей должности на которую вы обращаетесь." sqref="K101" xr:uid="{00000000-0002-0000-0000-00003A000000}">
      <formula1>80</formula1>
    </dataValidation>
    <dataValidation type="textLength" operator="lessThan" allowBlank="1" showInputMessage="1" showErrorMessage="1" errorTitle="Crewing Data System" error="Номер должен быть не больше 25 символов длиной" promptTitle="Подтверждение к диплому" prompt="Национальное подтверждение к вашему 3 диплому." sqref="K106" xr:uid="{00000000-0002-0000-0000-00003B000000}">
      <formula1>80</formula1>
    </dataValidation>
    <dataValidation allowBlank="1" showInputMessage="1" showErrorMessage="1" promptTitle="Фото" prompt="Если есть возможность поместите сюда ваше фото. Для этого: откройте меню ВСТАВКА. Откройте подменю Обьект.Откройте лист ИЗ ФАЙЛА.С помощью кнопки ОБЗОР найдите на диске ваше фото и вставте." sqref="N27:O36" xr:uid="{00000000-0002-0000-0000-00003C000000}"/>
    <dataValidation type="textLength" operator="lessThan" allowBlank="1" showInputMessage="1" showErrorMessage="1" errorTitle="Crewing Data System" error="Длина введенного значения превышает предельно допустимую (150 символов)" promptTitle="Образование" prompt="Название учебного заведения, специальность и год выпуска. Если еще не закончили - укажите на каком курсе." sqref="E25:J25" xr:uid="{00000000-0002-0000-0000-00003D000000}">
      <formula1>150</formula1>
    </dataValidation>
    <dataValidation allowBlank="1" showInputMessage="1" promptTitle="Заработок" prompt="Укажите свой ЖЕЛАЕМЫЙ заработок." sqref="L16:M16" xr:uid="{00000000-0002-0000-0000-00003E000000}"/>
    <dataValidation allowBlank="1" showInputMessage="1" promptTitle="Заработок" prompt="Политика нашей компании побуждает нас трудостраивать Вас по максимально возможным ставкам и все же, укажите минимальный заработок на который Вы согласны." sqref="L15:M15" xr:uid="{00000000-0002-0000-0000-00003F000000}"/>
    <dataValidation allowBlank="1" showInputMessage="1" promptTitle="Ваш адрес электронной почты" prompt="Желательно указать, для гарантии возможно адрес вашего знакомого - сделайте пояснение, чей адрес." sqref="M20" xr:uid="{00000000-0002-0000-0000-000040000000}"/>
    <dataValidation allowBlank="1" showInputMessage="1" promptTitle="Ваш адрес электронной почты" prompt="Желательно указать. Будте уверены, чтобы после долгого неиспользования адреса, например когда вы в море, провайдер не отменил ваш адрес. На этот случай в поле E-mail 2 укажите дополнит. адрес, например вашего друга. " sqref="M19:O19" xr:uid="{00000000-0002-0000-0000-000041000000}"/>
    <dataValidation allowBlank="1" showInputMessage="1" showErrorMessage="1" promptTitle="Multinational Crew Expiriense." prompt="Europe:_x000a_Greek; Italian; Spain; German; Norwegian; Englishman;_x000a_Far East:_x000a_Korean; China; Pilipino; Malaysia; Indonesia; Vietnam; Cambodia; Thailand; Myanmar; Bangladesh; Indian; Pakistan;_x000a_Another: - Specify." sqref="L183" xr:uid="{00000000-0002-0000-0000-000042000000}"/>
    <dataValidation operator="greaterThan" allowBlank="1" showErrorMessage="1" errorTitle="Crewing Data System" error="Введенное значение должно иметь формат даты_x000a_и находиться в диапазоне (Дата рождения) - (Текущая дата)" sqref="L147:L148" xr:uid="{00000000-0002-0000-0000-000043000000}"/>
    <dataValidation allowBlank="1" showInputMessage="1" showErrorMessage="1" errorTitle="Crewing Data System" error="Введенное значение должно иметь формат даты_x000a_и находиться в диапазоне (Дата рождения) - (Текущая дата)" promptTitle="Формат даты:" prompt="Вводите дату ДД.ММ.ГГГГ_x000a_Обратите внимание день точка месяц (цифра) точка год (4 цифры." sqref="L124:L141 L153:L159 L122 L117:L120 L110:L115 L149 L101:L106 L143:L145" xr:uid="{00000000-0002-0000-0000-000044000000}"/>
    <dataValidation type="textLength" operator="lessThan" allowBlank="1" showInputMessage="1" showErrorMessage="1" errorTitle="Crewing Data System" error="Длина введенного значения превышает предельно допустимую (20 символов)" promptTitle="Мощность ГД" prompt="в ЛС" sqref="J169 J173 J171" xr:uid="{00000000-0002-0000-0000-000045000000}">
      <formula1>20</formula1>
    </dataValidation>
    <dataValidation type="list" operator="lessThan" showInputMessage="1" errorTitle="Crewing Data System" error="Длина введенного значения превышает предельно допустимую (50 символов)" promptTitle="Тип ГД" prompt="Выберите из списка или введите свое значение._x000a_Для 3-4 мех: Укажите Тип ДВГ мощность* кол=Общ мощность (КВТ)" sqref="I169:I177" xr:uid="{00000000-0002-0000-0000-000046000000}">
      <formula1>$BF$7:$BF$55</formula1>
    </dataValidation>
    <dataValidation allowBlank="1" sqref="EB2:EB3 C73:D73 C71:D71 C75:D75" xr:uid="{00000000-0002-0000-0000-000047000000}"/>
    <dataValidation operator="lessThan" allowBlank="1" errorTitle="Crewing Data System" error="Величина этого поля не должна быть больше 20 символов" sqref="C72:D72 C76:D76 C74:D74" xr:uid="{00000000-0002-0000-0000-000048000000}"/>
    <dataValidation type="list" showInputMessage="1" sqref="F105:J105" xr:uid="{00000000-0002-0000-0000-000049000000}">
      <formula1>$AP$7:$AP$60</formula1>
    </dataValidation>
    <dataValidation type="list" showInputMessage="1" promptTitle="Рабочий Диплом" prompt="Введите рабочий диплом, соответствующий должности на которую обращаетесь." sqref="F101:J101" xr:uid="{00000000-0002-0000-0000-00004A000000}">
      <formula1>$AP$7:$AP$60</formula1>
    </dataValidation>
    <dataValidation type="list" showInputMessage="1" promptTitle="Ваш Дополнительный Диплом." prompt="Если Вы Капитан, Пом. Капитана или Пом капитана по Радиоэлектронике. Не забудте ввести сюда Диплом ГМССБ." sqref="F103:J103" xr:uid="{00000000-0002-0000-0000-00004B000000}">
      <formula1>$AP$7:$AP$60</formula1>
    </dataValidation>
    <dataValidation operator="lessThan" errorTitle="Crewing Data System" error="Длина введенного значения превышает предельно допустимую (50 символов)" sqref="H94:I94" xr:uid="{00000000-0002-0000-0000-00004C000000}"/>
    <dataValidation type="textLength" operator="lessThan" allowBlank="1" showInputMessage="1" errorTitle="Crewing Data System" error="Номер должен быть не больше 25 символов длиной" promptTitle="Подтверждение к диплому" prompt="Национальное подтверждение к вашему 2 диплому." sqref="K104" xr:uid="{00000000-0002-0000-0000-00004D000000}">
      <formula1>80</formula1>
    </dataValidation>
    <dataValidation type="textLength" operator="lessThan" allowBlank="1" showInputMessage="1" showErrorMessage="1" errorTitle="Crewing Data System" error="Номер должен быть не больше 25 символов длиной" promptTitle="Подтверждение к диплому" prompt="Номер (жля Росиян 10 цифр) Национального подтверждения к вашему основному диплому, например для работы на танкерах." sqref="K102" xr:uid="{00000000-0002-0000-0000-00004E000000}">
      <formula1>80</formula1>
    </dataValidation>
    <dataValidation type="list" showInputMessage="1" promptTitle="Подтверждение к Дипл." prompt="Ваше национальное подтверждение или подтверждение для работы на танкерах и т.п." sqref="I102:J102" xr:uid="{00000000-0002-0000-0000-00004F000000}">
      <formula1>$AS$7:$AS$19</formula1>
    </dataValidation>
    <dataValidation type="list" showInputMessage="1" showErrorMessage="1" errorTitle="Crewing Data System" error="Введенное значение должно быть одним из списка" sqref="I29" xr:uid="{00000000-0002-0000-0000-000050000000}">
      <formula1>$AX$7:$AX$13</formula1>
    </dataValidation>
    <dataValidation allowBlank="1" promptTitle="Дополнительная информация" prompt="Введите в это поле информацию которую Вы хотите о себе сообщить или не вошедшую в вышерасположенные поля." sqref="R188:T193" xr:uid="{00000000-0002-0000-0000-000051000000}"/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sqref="K110:K111 K119 K130:K146 K125:K128 K113" xr:uid="{00000000-0002-0000-0000-000052000000}">
      <formula1>100</formula1>
    </dataValidation>
    <dataValidation type="list" operator="lessThan" showInputMessage="1" errorTitle="Crewing Data System" error="Длина введенного значения превышает предельно допустимую (50 символов)" promptTitle="Флаг Судна" prompt="Выберите из списка или введите свое значение." sqref="G169:G177" xr:uid="{00000000-0002-0000-0000-000053000000}">
      <formula1>$BG$7:$BG$30</formula1>
    </dataValidation>
    <dataValidation type="list" operator="lessThan" showInputMessage="1" errorTitle="Crewing Data System" error="Длина введенного значения превышает предельно допустимую (50 символов)" promptTitle="Кем оформлен диплом" prompt="Выберите из списка или введите свое значение." sqref="M101:N101" xr:uid="{00000000-0002-0000-0000-000054000000}">
      <formula1>$BD$7:$BD$33</formula1>
    </dataValidation>
    <dataValidation type="list" operator="lessThan" showInputMessage="1" errorTitle="Crewing Data System" error="Длина введенного значения превышает предельно допустимую (50 символов)" promptTitle="Кем офорлен подтверждение к дипл" prompt="Если вашей администрации нет в списке введите свое значение." sqref="M102:N102 M104:N104 M106:N106" xr:uid="{00000000-0002-0000-0000-000055000000}">
      <formula1>$BD$7:$BD$33</formula1>
    </dataValidation>
    <dataValidation type="list" operator="lessThan" showInputMessage="1" errorTitle="Crewing Data System" error="Длина введенного значения превышает предельно допустимую (50 символов)" promptTitle="Кем оформлен документ." prompt="Выберите из списка или введите свое значение." sqref="M149:N159 M110:N146" xr:uid="{00000000-0002-0000-0000-000056000000}">
      <formula1>$BD$44:$BD$138</formula1>
    </dataValidation>
    <dataValidation type="list" errorStyle="warning" allowBlank="1" showInputMessage="1" showErrorMessage="1" errorTitle="Внимание" error="Должность только из списка" promptTitle="Choice Your Rank." prompt="If disturb you, Drug this field to the corner of the screen by &quot;mouse&quot;. Выберите из списка вашу должность. Если вам мешает примечание, оттащите примечание &quot;мышкой&quot; в угол экрана." sqref="E8:G8" xr:uid="{00000000-0002-0000-0000-000057000000}">
      <formula1>$AH$7:$AH$154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Инностранный язык." prompt="Каким языком кроме родного владеете. Номер сертификата проверки знания инностранного языка и знание ин. языка в процентах." sqref="K149" xr:uid="{00000000-0002-0000-0000-000058000000}">
      <formula1>100</formula1>
    </dataValidation>
    <dataValidation type="list" operator="lessThan" allowBlank="1" showInputMessage="1" showErrorMessage="1" errorTitle="Crewing Data System" error="Длина введенного значения превышает предельно допустимую (100 символов)" promptTitle="ТИП и НОМЕР визы. Type of Visa." prompt="Если у вас есть, или была открыта виза (вклеена в паспорт моряка или загран паспорт. (шестая строчка шенгенской вклейки)." sqref="K148" xr:uid="{00000000-0002-0000-0000-000059000000}">
      <formula1>$BC$7:$BC$17</formula1>
    </dataValidation>
    <dataValidation type="list" operator="lessThan" allowBlank="1" showInputMessage="1" showErrorMessage="1" errorTitle="Crewing Data System" error="Длина введенного значения превышает предельно допустимую (100 символов)" promptTitle="ТИП и НОМЕР визы. Type of Visa." prompt="USA Visa Type and Number. Если у вас есть, или была открыта виза (вклеена в паспорт моряка или загран паспорт. (вторая строчка американской вклейки в паспорт, правая сторона)." sqref="K147" xr:uid="{00000000-0002-0000-0000-00005A000000}">
      <formula1>$BC$7:$BC$17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Обратите внимание." prompt="Данный вид подготовки желательно иметь для Капитанов и Ст пом. Капитана. Обязательно с 01.06.2004." sqref="K112" xr:uid="{00000000-0002-0000-0000-00005B000000}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2 Буквы 8 Цыфр." prompt="Пример: RE XXXXXXXX_x000a_Находитс в правом верхнем углу._x000a_Если Вы (Комсостав) работали на судах под Кипрским флагом у Вас должно быть Кипрское Подтверждение к рабочему диплому." sqref="K114" xr:uid="{00000000-0002-0000-0000-00005C000000}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вы работали на судах под флагом Сант Винсент у Вас должно быть Подтверждение к рабочему диплому администрации флага Сант Винсент." sqref="K115" xr:uid="{00000000-0002-0000-0000-00005D000000}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вы работали на судах под Либерийским флагом у Вас должно быть Либерийское Подтверждение к рабочему диплому." sqref="K116" xr:uid="{00000000-0002-0000-0000-00005E000000}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вы работали на судах под Панамским флагом у Вас должно быть Панамское Подтверждение к рабочему диплому." sqref="K117" xr:uid="{00000000-0002-0000-0000-00005F000000}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вы работали на судах под Мальтийским флагом у Вас должно быть Мальтийское Подтверждение к рабочему диплому." sqref="K120" xr:uid="{00000000-0002-0000-0000-000060000000}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вы работали на судах под Багамским флагом у Вас должно быть Багамское Подтверждение к рабочему диплому." sqref="K122" xr:uid="{00000000-0002-0000-0000-000061000000}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Внимание !" prompt="Данный Вид подготовки / Сертификат обязателен для всех. This Certificate compulsory for All Ranks." sqref="K124" xr:uid="{00000000-0002-0000-0000-000062000000}">
      <formula1>100</formula1>
    </dataValidation>
    <dataValidation operator="greaterThan" allowBlank="1" showInputMessage="1" showErrorMessage="1" errorTitle="Crewing Data System" error="Введенное значение должно быть больше Даты выдачи. Valid Data must be more date of issue Date." promptTitle="USA Visa Valid Date." prompt="Срок окончания виза в США. " sqref="O147" xr:uid="{00000000-0002-0000-0000-000063000000}"/>
    <dataValidation operator="greaterThan" allowBlank="1" showInputMessage="1" showErrorMessage="1" errorTitle="Crewing Data System" error="Введенное значение должно быть больше Даты выдачи. Valid Data must be more date of issue Date." promptTitle="Schengen Visa valid date" prompt="Срок окончания Шенгенской визы." sqref="O148" xr:uid="{00000000-0002-0000-0000-000064000000}"/>
    <dataValidation operator="lessThan" showInputMessage="1" errorTitle="Crewing Data System" error="Длина введенного значения превышает предельно допустимую (50 символов)" promptTitle="Где, Кем оформлена виза." prompt="Введите свое значение." sqref="M147:N148" xr:uid="{00000000-0002-0000-0000-000065000000}"/>
    <dataValidation type="list" operator="lessThan" showInputMessage="1" errorTitle="Crewing Data System" error="Длина введенного значения превышает предельно допустимую (50 символов)" promptTitle="Тип Судна" prompt="Выберите из списка или введите свое значение." sqref="F169:F177" xr:uid="{00000000-0002-0000-0000-000066000000}">
      <formula1>$BI$7:$BI$112</formula1>
    </dataValidation>
    <dataValidation allowBlank="1" showInputMessage="1" showErrorMessage="1" errorTitle="Crewing Data System" error="Введенное значение должно иметь формат даты_x000a_и находиться в диапазоне (Дата рождения) - (Текущая дата)" promptTitle="Дата Прививки" prompt="Когда сделана прививка от желтой лихорадки. Вводите дату ДД.ММ.ГГГГ. Обратите внимание день точка месяц (цифра) точка год 4 цифры." sqref="L150" xr:uid="{00000000-0002-0000-0000-000067000000}"/>
    <dataValidation allowBlank="1" showInputMessage="1" showErrorMessage="1" errorTitle="Crewing Data System" error="Введенное значение должно иметь формат даты_x000a_и находиться в диапазоне (Дата рождения) - (Текущая дата)" promptTitle="Дата Прививки" prompt="Когда сделана прививка от Дифтерии. Как правило в Сан Книжке напродив данных о этой прививки стоит прописью или штампом буквы АДС или АДМ. Вводите дату ДД.ММ.ГГГГ. Обратите внимание день точка месяц (цифра) точка год 4 цифры." sqref="L151" xr:uid="{00000000-0002-0000-0000-000068000000}"/>
    <dataValidation allowBlank="1" showInputMessage="1" showErrorMessage="1" errorTitle="Crewing Data System" error="Введенное значение должно иметь формат даты_x000a_и находиться в диапазоне (Дата рождения) - (Текущая дата)" promptTitle="Дата Прививки" prompt="Когда сделана прививка от Холеры. Вводите дату ДД.ММ.ГГГГ. Обратите внимание день точка месяц (цифра) точка год 4 цифры." sqref="L152" xr:uid="{00000000-0002-0000-0000-000069000000}"/>
    <dataValidation allowBlank="1" showInputMessage="1" showErrorMessage="1" errorTitle="Crewing Data System" error="Введенное значение должно иметь формат даты_x000a_и находиться в диапазоне (Дата рождения) - (Текущая дата)" promptTitle="Формат даты:" prompt="Вводите дату ДД.ММ.ГГГГ_x000a_Обратите внимание день точка месяц (цифра) точка год 4 цифры." sqref="L146" xr:uid="{00000000-0002-0000-0000-00006A000000}"/>
    <dataValidation type="textLength" operator="lessThan" allowBlank="1" showInputMessage="1" showErrorMessage="1" errorTitle="Crewing Data System" error="Номер должен быть не больше 25 символов длиной" promptTitle="Номер Диплома" prompt="Введите номер вашего 2 диплома." sqref="K103" xr:uid="{00000000-0002-0000-0000-00006B000000}">
      <formula1>80</formula1>
    </dataValidation>
    <dataValidation type="textLength" operator="lessThan" allowBlank="1" showInputMessage="1" showErrorMessage="1" errorTitle="Crewing Data System" error="Номер должен быть не больше 25 символов длиной" promptTitle="Номер Диплома" prompt="Введите номер вашего 3 диплома." sqref="K105" xr:uid="{00000000-0002-0000-0000-00006C000000}">
      <formula1>80</formula1>
    </dataValidation>
    <dataValidation allowBlank="1" showInputMessage="1" showErrorMessage="1" promptTitle="Дополнительная информация" prompt="Additional Info. Введите в это поле информацию которую Вы хотите о себе сообщить или не вошедшую в вышерасположенные поля." sqref="B183:I187" xr:uid="{00000000-0002-0000-0000-00006D000000}"/>
    <dataValidation type="list" operator="lessThan" showInputMessage="1" errorTitle="Crewing Data System" error="Длина введенного значения превышает предельно допустимую (50 символов)" promptTitle="Кем офорлен 2 диплом" prompt="Если вашей администрации нет в списке введите свое значение." sqref="M103:N103 M105:N105" xr:uid="{00000000-0002-0000-0000-00006E000000}">
      <formula1>$BD$7:$BD$33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у вас 3 отдельных сертификата, ознакомительный для работы на нефте-танкере, химовозе и газовозе, вводите их через дробь. Пример: 000001 / 000002 / 000003 " sqref="K129" xr:uid="{00000000-0002-0000-0000-00006F000000}">
      <formula1>100</formula1>
    </dataValidation>
    <dataValidation operator="greaterThan" allowBlank="1" showInputMessage="1" showErrorMessage="1" errorTitle="Crewing Data System" error="Введенное значение должно быть больше Даты выдачи. Valid Data must be more date of issue Date." sqref="O129" xr:uid="{00000000-0002-0000-0000-000070000000}"/>
    <dataValidation allowBlank="1" showInputMessage="1" showErrorMessage="1" prompt="Tel E mail of your previous employer. To check your References." sqref="P169:R169" xr:uid="{00000000-0002-0000-0000-000071000000}"/>
    <dataValidation operator="lessThan" allowBlank="1" showInputMessage="1" showErrorMessage="1" errorTitle="Crewing Data System" error="Длина введенного значения превышает предельно допустимую (50 символов)" prompt="Tel E mail of your previous employer. To check your References." sqref="P170:R177" xr:uid="{00000000-0002-0000-0000-000072000000}"/>
    <dataValidation type="list" showInputMessage="1" sqref="I104:J104 I106:J106" xr:uid="{00000000-0002-0000-0000-000073000000}">
      <formula1>$AS$7:$AS$19</formula1>
    </dataValidation>
    <dataValidation allowBlank="1" showInputMessage="1" showErrorMessage="1" promptTitle="Личный номер" prompt="Состоит из 6 цифр и находится на 2 странице Либерийского паспорта моряка вверху справа от букв FIN:" sqref="P116" xr:uid="{00000000-0002-0000-0000-000074000000}"/>
    <dataValidation allowBlank="1" showInputMessage="1" showErrorMessage="1" errorTitle="Crewing Data System" error="Введенное значение должно иметь формат даты_x000a_и находиться в диапазоне (Дата рождения) - (Текущая дата)" promptTitle="Формат даты ДД.ММ.ГГГГ." prompt="Обратите внимание день точка месяц (цифра) точка год (4 цифры." sqref="L116" xr:uid="{00000000-0002-0000-0000-000075000000}"/>
    <dataValidation allowBlank="1" showInputMessage="1" showErrorMessage="1" errorTitle="Crewing Data System" error="Введенное значение должно иметь формат даты_x000a_и находиться в диапазоне (Дата рождения) - (Текущая дата)" promptTitle="Формат даты ДД.ММ.ГГГГ" prompt="Issued on: Стр № 5 Антигуа Сименс Бук, справо от Endorsement No:. Обратите внимание: день Точка месяц (цифра) Точка год 4 цифры." sqref="L121" xr:uid="{00000000-0002-0000-0000-000076000000}"/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5 Цифр 1 Буква Пример: 06025D" prompt="Endorsement of No: на Стр № 5 Антигуа Сименс Бук. _x000a_Подтверждение Основного Рабочего диплома." sqref="K121" xr:uid="{00000000-0002-0000-0000-000077000000}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5 Цифр Пример: 53087" prompt="Endorsement No.: на правой стороне под Фотографией. Подтверждение Основного Рабочего диплома данные которого на Правой стороне." sqref="K123" xr:uid="{00000000-0002-0000-0000-000078000000}">
      <formula1>100</formula1>
    </dataValidation>
    <dataValidation allowBlank="1" showInputMessage="1" showErrorMessage="1" errorTitle="Crewing Data System" error="Введенное значение должно иметь формат даты_x000a_и находиться в диапазоне (Дата рождения) - (Текущая дата)" promptTitle="Формат даты ДД.ММ.ГГГГ:" prompt="Под номером Подтверждения, Например:_x000a_Issued:_______ Oslo, 08.10.2002. _x000a_Обратите внимание: день Точка месяц (цифра) Точка год (4 цифры)." sqref="L123" xr:uid="{00000000-0002-0000-0000-000079000000}"/>
    <dataValidation allowBlank="1" showInputMessage="1" showErrorMessage="1" promptTitle="Личный номер/Seafarer ID" prompt="Состоит из 10 знаков первые 3 буквы для Россиян начинается с букв MRU. Находится в верхнем Левом углу." sqref="P114:Q114" xr:uid="{00000000-0002-0000-0000-00007A000000}"/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Подтверждение к диплому" prompt="Отсутствующее в списке. Правее в графе &quot;Issue Place&quot; Укажите Страну кем оформлено." sqref="K118" xr:uid="{00000000-0002-0000-0000-00007B000000}">
      <formula1>100</formula1>
    </dataValidation>
    <dataValidation type="list" showInputMessage="1" promptTitle="Ограничения" prompt="по рабочему диплому." sqref="T101:V106" xr:uid="{00000000-0002-0000-0000-00007C000000}">
      <formula1>$BM$7:$BM$59</formula1>
    </dataValidation>
    <dataValidation type="list" showInputMessage="1" errorTitle="Crewing Data System" error="Введенное значение должно быть одним из списка" promptTitle="Функции" prompt="на которые оформлен рабочий диплом. Страница 2 диплома." sqref="P101:Q106" xr:uid="{00000000-0002-0000-0000-00007D000000}">
      <formula1>$BK$7:$BK$13</formula1>
    </dataValidation>
    <dataValidation allowBlank="1" showInputMessage="1" showErrorMessage="1" promptTitle="Номер &quot;Аськи&quot; ." prompt="Укажите если имеете. ( Например у меня номер 112373733 )" sqref="M21:O21" xr:uid="{00000000-0002-0000-0000-00007E000000}"/>
    <dataValidation type="textLength" operator="lessThan" allowBlank="1" showInputMessage="1" showErrorMessage="1" errorTitle="Crewing Data System" error="Длина введенного значения превышает предельно допустимую (50 символов)" promptTitle="Бак Анализ." prompt="Дата по печати бак. анализа. Печать должна присутствовать в вашей сан книжке (возможно в вашей старой сан книжке)." sqref="K159" xr:uid="{00000000-0002-0000-0000-00007F000000}">
      <formula1>50</formula1>
    </dataValidation>
    <dataValidation type="list" showInputMessage="1" promptTitle="Уровень " prompt="на который выписан рабочий диплом." sqref="R101:S106" xr:uid="{00000000-0002-0000-0000-000080000000}">
      <formula1>$BL$7:$BL$9</formula1>
    </dataValidation>
    <dataValidation operator="lessThan" allowBlank="1" showInputMessage="1" errorTitle="Crewing Data System" error="Длина введенного значения превышает предельно допустимую (50 символов)" sqref="H95:I96 M93:N93 H93:I93" xr:uid="{00000000-0002-0000-0000-000081000000}"/>
    <dataValidation operator="lessThan" showInputMessage="1" errorTitle="Crewing Data System" error="Длина введенного значения превышает предельно допустимую (50 символов)" sqref="M94:N96" xr:uid="{00000000-0002-0000-0000-000082000000}"/>
    <dataValidation type="list" showInputMessage="1" sqref="P123:Q146 P149:Q158 P110:Q112 P159" xr:uid="{00000000-0002-0000-0000-000083000000}">
      <formula1>$AM$7:$AM$237</formula1>
    </dataValidation>
    <dataValidation type="list" allowBlank="1" showInputMessage="1" showErrorMessage="1" sqref="M65:N84" xr:uid="{00000000-0002-0000-0000-000084000000}">
      <formula1>$AM$7:$AM$237</formula1>
    </dataValidation>
    <dataValidation type="list" errorStyle="information" showInputMessage="1" showErrorMessage="1" errorTitle="Внимание" error="Выберите страну из списка построенного по алфавитному порядку." promptTitle="Введите Страну Проживания." prompt="Здесь и далее адрес, где реально живете._x000a_There and further fields, address where your live." sqref="E15:F15" xr:uid="{00000000-0002-0000-0000-000085000000}">
      <formula1>$AM$7:$AM$237</formula1>
    </dataValidation>
    <dataValidation type="list" allowBlank="1" showInputMessage="1" showErrorMessage="1" promptTitle="Гражданство" prompt="если двойное, заполните поле Гражданство 2." sqref="I22:J22" xr:uid="{00000000-0002-0000-0000-000086000000}">
      <formula1>$AM$7:$AM$237</formula1>
    </dataValidation>
    <dataValidation type="list" errorStyle="warning" showInputMessage="1" showErrorMessage="1" errorTitle="Сообщение:" error="Выберите вашу национальность из списка." sqref="E22:F22" xr:uid="{00000000-0002-0000-0000-000087000000}">
      <formula1>$AM$7:$AM$237</formula1>
    </dataValidation>
    <dataValidation type="list" showInputMessage="1" promptTitle="Гражданство" prompt="если двойное, заполните поле Гражданство 2." sqref="I23:J23" xr:uid="{00000000-0002-0000-0000-000088000000}">
      <formula1>$AM$7:$AM$237</formula1>
    </dataValidation>
    <dataValidation type="list" sqref="K94:L94" xr:uid="{00000000-0002-0000-0000-000089000000}">
      <formula1>$AM$7:$AM$237</formula1>
    </dataValidation>
  </dataValidations>
  <pageMargins left="0.75" right="0.75" top="1" bottom="1" header="0.5" footer="0.5"/>
  <pageSetup paperSize="9" scale="31" fitToHeight="2" orientation="portrait" horizontalDpi="4294967293" r:id="rId1"/>
  <headerFooter alignWithMargins="0"/>
  <rowBreaks count="1" manualBreakCount="1">
    <brk id="107" max="23" man="1"/>
  </rowBreaks>
  <cellWatches>
    <cellWatch r="E8"/>
    <cellWatch r="E2"/>
    <cellWatch r="B169"/>
  </cellWatches>
  <ignoredErrors>
    <ignoredError sqref="G22 H40 AB82:AB83 AB74 AB76:AB81 AB69:AB71 AB72:AB73 AB67:AB68 AB66 CB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184</vt:i4>
      </vt:variant>
    </vt:vector>
  </HeadingPairs>
  <TitlesOfParts>
    <vt:vector size="185" baseType="lpstr">
      <vt:lpstr>Reg Form</vt:lpstr>
      <vt:lpstr>'Reg Form'!Область_печати</vt:lpstr>
      <vt:lpstr>ForExport</vt:lpstr>
      <vt:lpstr>Pl3MV</vt:lpstr>
      <vt:lpstr>PladdressRegion</vt:lpstr>
      <vt:lpstr>PladdressStret</vt:lpstr>
      <vt:lpstr>PladdressTown</vt:lpstr>
      <vt:lpstr>PlCertOfCompAt</vt:lpstr>
      <vt:lpstr>PlCertOfCompIsuedDate</vt:lpstr>
      <vt:lpstr>PlCertOfCompNum</vt:lpstr>
      <vt:lpstr>PlChemTankAdvancedAt</vt:lpstr>
      <vt:lpstr>PlChemTankAdvancedDateIssued</vt:lpstr>
      <vt:lpstr>PlChemTankAdvancedNum</vt:lpstr>
      <vt:lpstr>PlCholeraAt</vt:lpstr>
      <vt:lpstr>PlCholeraNum</vt:lpstr>
      <vt:lpstr>PlCholeraVaccinationDateIssued</vt:lpstr>
      <vt:lpstr>PlCitizenship</vt:lpstr>
      <vt:lpstr>PlCitizenship_2</vt:lpstr>
      <vt:lpstr>PlClothes_Size</vt:lpstr>
      <vt:lpstr>PlContries</vt:lpstr>
      <vt:lpstr>PlContriesID</vt:lpstr>
      <vt:lpstr>PlCOWInertGasAt</vt:lpstr>
      <vt:lpstr>PlCOWInertGasDateIssued</vt:lpstr>
      <vt:lpstr>PlCOWInertGasNum</vt:lpstr>
      <vt:lpstr>PlCrisisMngmntAt</vt:lpstr>
      <vt:lpstr>PlCrisisMngmntDateIssued</vt:lpstr>
      <vt:lpstr>PlCrisisMngmntNum</vt:lpstr>
      <vt:lpstr>PlCrowdMangmntAt</vt:lpstr>
      <vt:lpstr>PlCrowdMangmntDateIssued</vt:lpstr>
      <vt:lpstr>PlCrowdMangmntNum</vt:lpstr>
      <vt:lpstr>PlDesaredWages</vt:lpstr>
      <vt:lpstr>PlDifhteriaVaccinationDateIssued</vt:lpstr>
      <vt:lpstr>PlDiplom2At</vt:lpstr>
      <vt:lpstr>PlDiplom2Num</vt:lpstr>
      <vt:lpstr>PlDiplom2Type</vt:lpstr>
      <vt:lpstr>PlDiplomEcvivalent</vt:lpstr>
      <vt:lpstr>PlDiplomIssuedBy</vt:lpstr>
      <vt:lpstr>PlDiplomRus</vt:lpstr>
      <vt:lpstr>PlDiplomType</vt:lpstr>
      <vt:lpstr>Pldob</vt:lpstr>
      <vt:lpstr>PlDrugAlcoholTestAt</vt:lpstr>
      <vt:lpstr>PlDrugAlcoholTestDateIssued</vt:lpstr>
      <vt:lpstr>PlDrugAlcoholTestNum</vt:lpstr>
      <vt:lpstr>PlEducation</vt:lpstr>
      <vt:lpstr>PlEducation_2</vt:lpstr>
      <vt:lpstr>PlEducRus</vt:lpstr>
      <vt:lpstr>PlEmail</vt:lpstr>
      <vt:lpstr>PlEndCyprusDateIssued</vt:lpstr>
      <vt:lpstr>PlEndCyprusNumber</vt:lpstr>
      <vt:lpstr>PlEndLiberiaDateIssued</vt:lpstr>
      <vt:lpstr>PlEndLiberiaNumber</vt:lpstr>
      <vt:lpstr>PlEndorsmentAt</vt:lpstr>
      <vt:lpstr>PlEndorsmentNum</vt:lpstr>
      <vt:lpstr>PlEndStVinsentDateIssued</vt:lpstr>
      <vt:lpstr>PlEndStVinsentNumber</vt:lpstr>
      <vt:lpstr>PlEnglTestPst</vt:lpstr>
      <vt:lpstr>PlEyes_color</vt:lpstr>
      <vt:lpstr>PlFamelEngl</vt:lpstr>
      <vt:lpstr>PlFastRBoatsData</vt:lpstr>
      <vt:lpstr>PlFastRBoatsDateIssued</vt:lpstr>
      <vt:lpstr>PlFastRBoatsNum</vt:lpstr>
      <vt:lpstr>PlFatherFirstName</vt:lpstr>
      <vt:lpstr>PlFatherSurname</vt:lpstr>
      <vt:lpstr>PlFemelRus</vt:lpstr>
      <vt:lpstr>PlFireFightLifesaivRescueAt</vt:lpstr>
      <vt:lpstr>PlFireFightLifesaivRescueDateIssued</vt:lpstr>
      <vt:lpstr>PlFireFightLifesaivRescueNum</vt:lpstr>
      <vt:lpstr>PlFlagRegistrSeamBook</vt:lpstr>
      <vt:lpstr>PlFoto</vt:lpstr>
      <vt:lpstr>PlGasTankAdvancedAt</vt:lpstr>
      <vt:lpstr>PlGasTankAdvancedDateIssued</vt:lpstr>
      <vt:lpstr>PlGasTankAdvancedNum</vt:lpstr>
      <vt:lpstr>PlGenTank101DateIssued</vt:lpstr>
      <vt:lpstr>PlGenTankSafetAt101</vt:lpstr>
      <vt:lpstr>PlGenTankSafetNum101</vt:lpstr>
      <vt:lpstr>PlGrPasDate</vt:lpstr>
      <vt:lpstr>PlGrPasExpiryDate</vt:lpstr>
      <vt:lpstr>PlGrPasNum</vt:lpstr>
      <vt:lpstr>PlGrPasPlaceIisue</vt:lpstr>
      <vt:lpstr>PlGrPasSeria</vt:lpstr>
      <vt:lpstr>PlHairs_color</vt:lpstr>
      <vt:lpstr>PlHalthCertIsuedAt</vt:lpstr>
      <vt:lpstr>PlHalthCertIsuedNum</vt:lpstr>
      <vt:lpstr>PlHAZMATData</vt:lpstr>
      <vt:lpstr>PlHAZMATDataIssued</vt:lpstr>
      <vt:lpstr>PlHAZMATNumber</vt:lpstr>
      <vt:lpstr>PlHazmatUSA1DateIssued</vt:lpstr>
      <vt:lpstr>PlHazmatUSA1Number</vt:lpstr>
      <vt:lpstr>PlHazmatUSA2DateIssued</vt:lpstr>
      <vt:lpstr>PlHazmatUSA2Number</vt:lpstr>
      <vt:lpstr>PlHead_Size</vt:lpstr>
      <vt:lpstr>PlHeight</vt:lpstr>
      <vt:lpstr>PlIntPasDate</vt:lpstr>
      <vt:lpstr>PlIntPasExpiryDate</vt:lpstr>
      <vt:lpstr>PlIntPasNum</vt:lpstr>
      <vt:lpstr>PlIntPasPlaceIisue</vt:lpstr>
      <vt:lpstr>PlIntPasSeria</vt:lpstr>
      <vt:lpstr>PlLang2</vt:lpstr>
      <vt:lpstr>PlLang22</vt:lpstr>
      <vt:lpstr>PlLang2DateIssued</vt:lpstr>
      <vt:lpstr>PlLicCodes</vt:lpstr>
      <vt:lpstr>PLLicences</vt:lpstr>
      <vt:lpstr>PlMaritalStat</vt:lpstr>
      <vt:lpstr>PlMedSertDateIssued</vt:lpstr>
      <vt:lpstr>PlMinWages</vt:lpstr>
      <vt:lpstr>PlMobil_Tlf</vt:lpstr>
      <vt:lpstr>PlMotherFirstName</vt:lpstr>
      <vt:lpstr>PlMotherMaidenName</vt:lpstr>
      <vt:lpstr>PlMotherSurname</vt:lpstr>
      <vt:lpstr>PlNameEngl</vt:lpstr>
      <vt:lpstr>PlNameRus</vt:lpstr>
      <vt:lpstr>PlNationality</vt:lpstr>
      <vt:lpstr>PlNotes1</vt:lpstr>
      <vt:lpstr>PlNotes2</vt:lpstr>
      <vt:lpstr>PlOtchestvoEngl</vt:lpstr>
      <vt:lpstr>PlOtchestvoRus</vt:lpstr>
      <vt:lpstr>PlPaspNum</vt:lpstr>
      <vt:lpstr>PlPaspSeria</vt:lpstr>
      <vt:lpstr>PlpobEngl</vt:lpstr>
      <vt:lpstr>PlpobRus</vt:lpstr>
      <vt:lpstr>PlPostal_Code</vt:lpstr>
      <vt:lpstr>PlPresentJobCoAndRankRus</vt:lpstr>
      <vt:lpstr>PlPropiskaSity</vt:lpstr>
      <vt:lpstr>PlPropiskaSteet</vt:lpstr>
      <vt:lpstr>PlRadarAt</vt:lpstr>
      <vt:lpstr>PlRadarDateIssued</vt:lpstr>
      <vt:lpstr>PlRadarNum</vt:lpstr>
      <vt:lpstr>PlRank1</vt:lpstr>
      <vt:lpstr>PlRecomendCoAndAddrRus</vt:lpstr>
      <vt:lpstr>PlRecomendCoEMaile</vt:lpstr>
      <vt:lpstr>PlRecomendCoTelFax</vt:lpstr>
      <vt:lpstr>PlRecomendCoTelMobil</vt:lpstr>
      <vt:lpstr>PlRecomendPersonNameRus</vt:lpstr>
      <vt:lpstr>PlRecomendPersonRankRus</vt:lpstr>
      <vt:lpstr>PlReligion</vt:lpstr>
      <vt:lpstr>PlSarpAt</vt:lpstr>
      <vt:lpstr>PlSarpDateIssued</vt:lpstr>
      <vt:lpstr>PlSarpNum</vt:lpstr>
      <vt:lpstr>PlSchengenVisaDateValid</vt:lpstr>
      <vt:lpstr>PlSchengenVisaNumber</vt:lpstr>
      <vt:lpstr>PlSeamansBookNumber</vt:lpstr>
      <vt:lpstr>PlSeamansBookSeria</vt:lpstr>
      <vt:lpstr>PlSeamBookDate</vt:lpstr>
      <vt:lpstr>PlSeamBookDateEXPARY</vt:lpstr>
      <vt:lpstr>PlSeamPaspDate</vt:lpstr>
      <vt:lpstr>PlSeamPaspExparyDate</vt:lpstr>
      <vt:lpstr>PlSert114DateIssued</vt:lpstr>
      <vt:lpstr>PlSert114Number</vt:lpstr>
      <vt:lpstr>PlSert115Data</vt:lpstr>
      <vt:lpstr>PlSert115DateIssued</vt:lpstr>
      <vt:lpstr>PlSert115Number</vt:lpstr>
      <vt:lpstr>PlSert123Data</vt:lpstr>
      <vt:lpstr>PlSert123DateIssued</vt:lpstr>
      <vt:lpstr>PlSert123Number</vt:lpstr>
      <vt:lpstr>PlSert203data</vt:lpstr>
      <vt:lpstr>PlSert203DateIssued</vt:lpstr>
      <vt:lpstr>PlSert203Number</vt:lpstr>
      <vt:lpstr>PlSex</vt:lpstr>
      <vt:lpstr>PlSkins_Color</vt:lpstr>
      <vt:lpstr>PlTank102DateIssued</vt:lpstr>
      <vt:lpstr>PlTankAt102</vt:lpstr>
      <vt:lpstr>PlTankNum102</vt:lpstr>
      <vt:lpstr>Pltel2</vt:lpstr>
      <vt:lpstr>PlTheirsNumber</vt:lpstr>
      <vt:lpstr>Plthers</vt:lpstr>
      <vt:lpstr>PlUSAVisaDateValid</vt:lpstr>
      <vt:lpstr>PlUSAVisaNumber</vt:lpstr>
      <vt:lpstr>PlVaccinationBookDateIssued</vt:lpstr>
      <vt:lpstr>PlVaccinationBookNumber</vt:lpstr>
      <vt:lpstr>PlVichDateIssued</vt:lpstr>
      <vt:lpstr>PlVichTestNumber</vt:lpstr>
      <vt:lpstr>PlWeight</vt:lpstr>
      <vt:lpstr>PlWifeFirstName</vt:lpstr>
      <vt:lpstr>PlWifeSurname</vt:lpstr>
      <vt:lpstr>PlYellowFeverVaccinationDateIssued</vt:lpstr>
      <vt:lpstr>PlYellowFwrAt</vt:lpstr>
      <vt:lpstr>PlYellowFwrNum</vt:lpstr>
      <vt:lpstr>pTaganrog_Harbour_Master</vt:lpstr>
      <vt:lpstr>RankCode</vt:lpstr>
      <vt:lpstr>RankCosdeID</vt:lpstr>
      <vt:lpstr>RankTable</vt:lpstr>
      <vt:lpstr>snLicence1</vt:lpstr>
      <vt:lpstr>snLicence2</vt:lpstr>
      <vt:lpstr>snLicence3</vt:lpstr>
      <vt:lpstr>Valid_Untill</vt:lpstr>
    </vt:vector>
  </TitlesOfParts>
  <Manager>Tishin Denis Gennadievich</Manager>
  <Company>Co9@mail.ru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ApplForm</dc:title>
  <dc:subject/>
  <dc:creator/>
  <cp:lastModifiedBy>Пользователь Microsoft Office</cp:lastModifiedBy>
  <cp:lastPrinted>2003-05-15T12:18:38Z</cp:lastPrinted>
  <dcterms:created xsi:type="dcterms:W3CDTF">2002-07-24T19:01:45Z</dcterms:created>
  <dcterms:modified xsi:type="dcterms:W3CDTF">2022-04-18T12:29:04Z</dcterms:modified>
</cp:coreProperties>
</file>